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M\SM\Tugiosakonnad\FVO\10.Kuluarvestusega seotud teemad\erinevad tabelid Liinale\"/>
    </mc:Choice>
  </mc:AlternateContent>
  <xr:revisionPtr revIDLastSave="0" documentId="8_{FA1CE3DA-CF39-4CBA-8F7D-7FAF6D95CBA3}" xr6:coauthVersionLast="47" xr6:coauthVersionMax="47" xr10:uidLastSave="{00000000-0000-0000-0000-000000000000}"/>
  <bookViews>
    <workbookView xWindow="28680" yWindow="-120" windowWidth="29040" windowHeight="15840" xr2:uid="{4D1749CD-7348-40E3-9063-2FA36ECE44CB}"/>
  </bookViews>
  <sheets>
    <sheet name="aruanne" sheetId="1" r:id="rId1"/>
    <sheet name="lisa1" sheetId="4" r:id="rId2"/>
    <sheet name="vordlus" sheetId="2" r:id="rId3"/>
  </sheets>
  <definedNames>
    <definedName name="_xlnm._FilterDatabase" localSheetId="2" hidden="1">vordlus!$A$4:$J$19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C82" i="1"/>
  <c r="E38" i="1"/>
  <c r="C38" i="1"/>
  <c r="E37" i="1"/>
  <c r="C37" i="1"/>
  <c r="F32" i="1"/>
  <c r="E32" i="1"/>
  <c r="C32" i="1"/>
  <c r="F31" i="1"/>
  <c r="C31" i="1"/>
  <c r="E31" i="1"/>
  <c r="C5" i="1"/>
  <c r="D6" i="1"/>
  <c r="G6" i="1" s="1"/>
  <c r="D7" i="1"/>
  <c r="E7" i="1"/>
  <c r="F7" i="1"/>
  <c r="D8" i="1"/>
  <c r="E8" i="1"/>
  <c r="F8" i="1"/>
  <c r="D9" i="1"/>
  <c r="G9" i="1" s="1"/>
  <c r="D10" i="1"/>
  <c r="G10" i="1" s="1"/>
  <c r="F10" i="1"/>
  <c r="C15" i="1"/>
  <c r="E15" i="1"/>
  <c r="F15" i="1"/>
  <c r="C16" i="1"/>
  <c r="E16" i="1"/>
  <c r="F16" i="1"/>
  <c r="D17" i="1"/>
  <c r="G17" i="1" s="1"/>
  <c r="D18" i="1"/>
  <c r="G18" i="1" s="1"/>
  <c r="D19" i="1"/>
  <c r="G19" i="1" s="1"/>
  <c r="D20" i="1"/>
  <c r="G20" i="1" s="1"/>
  <c r="D21" i="1"/>
  <c r="G21" i="1" s="1"/>
  <c r="D22" i="1"/>
  <c r="G22" i="1" s="1"/>
  <c r="D23" i="1"/>
  <c r="G23" i="1" s="1"/>
  <c r="D24" i="1"/>
  <c r="G24" i="1" s="1"/>
  <c r="C25" i="1"/>
  <c r="E25" i="1"/>
  <c r="C26" i="1"/>
  <c r="E26" i="1"/>
  <c r="D27" i="1"/>
  <c r="G27" i="1" s="1"/>
  <c r="D28" i="1"/>
  <c r="G28" i="1" s="1"/>
  <c r="D29" i="1"/>
  <c r="G29" i="1" s="1"/>
  <c r="F29" i="1"/>
  <c r="F25" i="1" s="1"/>
  <c r="D30" i="1"/>
  <c r="G30" i="1" s="1"/>
  <c r="F30" i="1"/>
  <c r="F26" i="1" s="1"/>
  <c r="D33" i="1"/>
  <c r="G33" i="1" s="1"/>
  <c r="D34" i="1"/>
  <c r="G34" i="1" s="1"/>
  <c r="D35" i="1"/>
  <c r="G35" i="1" s="1"/>
  <c r="D36" i="1"/>
  <c r="G36" i="1" s="1"/>
  <c r="D39" i="1"/>
  <c r="F39" i="1"/>
  <c r="D40" i="1"/>
  <c r="F40" i="1"/>
  <c r="D41" i="1"/>
  <c r="G41" i="1" s="1"/>
  <c r="F41" i="1"/>
  <c r="D42" i="1"/>
  <c r="G42" i="1" s="1"/>
  <c r="F42" i="1"/>
  <c r="D43" i="1"/>
  <c r="G43" i="1" s="1"/>
  <c r="D44" i="1"/>
  <c r="G44" i="1" s="1"/>
  <c r="D45" i="1"/>
  <c r="G45" i="1" s="1"/>
  <c r="F45" i="1"/>
  <c r="D46" i="1"/>
  <c r="G46" i="1" s="1"/>
  <c r="F46" i="1"/>
  <c r="D47" i="1"/>
  <c r="G47" i="1" s="1"/>
  <c r="D48" i="1"/>
  <c r="G48" i="1" s="1"/>
  <c r="C49" i="1"/>
  <c r="E49" i="1"/>
  <c r="F49" i="1"/>
  <c r="C50" i="1"/>
  <c r="E50" i="1"/>
  <c r="F50" i="1"/>
  <c r="D51" i="1"/>
  <c r="G51" i="1" s="1"/>
  <c r="D52" i="1"/>
  <c r="G52" i="1" s="1"/>
  <c r="D53" i="1"/>
  <c r="G53" i="1" s="1"/>
  <c r="D54" i="1"/>
  <c r="G54" i="1" s="1"/>
  <c r="D55" i="1"/>
  <c r="G55" i="1" s="1"/>
  <c r="D56" i="1"/>
  <c r="G56" i="1" s="1"/>
  <c r="C59" i="1"/>
  <c r="E59" i="1"/>
  <c r="F59" i="1"/>
  <c r="C60" i="1"/>
  <c r="E60" i="1"/>
  <c r="F60" i="1"/>
  <c r="D61" i="1"/>
  <c r="D62" i="1"/>
  <c r="G62" i="1" s="1"/>
  <c r="D63" i="1"/>
  <c r="G63" i="1" s="1"/>
  <c r="D64" i="1"/>
  <c r="G64" i="1" s="1"/>
  <c r="D65" i="1"/>
  <c r="G65" i="1" s="1"/>
  <c r="D66" i="1"/>
  <c r="G66" i="1" s="1"/>
  <c r="D67" i="1"/>
  <c r="G67" i="1" s="1"/>
  <c r="D68" i="1"/>
  <c r="G68" i="1" s="1"/>
  <c r="C69" i="1"/>
  <c r="E69" i="1"/>
  <c r="F69" i="1"/>
  <c r="C70" i="1"/>
  <c r="E70" i="1"/>
  <c r="F70" i="1"/>
  <c r="D71" i="1"/>
  <c r="D72" i="1"/>
  <c r="G72" i="1" s="1"/>
  <c r="D73" i="1"/>
  <c r="G73" i="1" s="1"/>
  <c r="D74" i="1"/>
  <c r="G74" i="1" s="1"/>
  <c r="D75" i="1"/>
  <c r="G75" i="1" s="1"/>
  <c r="D76" i="1"/>
  <c r="G76" i="1" s="1"/>
  <c r="D77" i="1"/>
  <c r="G77" i="1" s="1"/>
  <c r="D78" i="1"/>
  <c r="G78" i="1" s="1"/>
  <c r="D79" i="1"/>
  <c r="G79" i="1" s="1"/>
  <c r="D80" i="1"/>
  <c r="G80" i="1" s="1"/>
  <c r="C81" i="1"/>
  <c r="F81" i="1"/>
  <c r="D83" i="1"/>
  <c r="G83" i="1" s="1"/>
  <c r="D84" i="1"/>
  <c r="G84" i="1" s="1"/>
  <c r="D85" i="1"/>
  <c r="G85" i="1" s="1"/>
  <c r="D86" i="1"/>
  <c r="G86" i="1" s="1"/>
  <c r="D87" i="1"/>
  <c r="G87" i="1" s="1"/>
  <c r="D88" i="1"/>
  <c r="G88" i="1" s="1"/>
  <c r="D89" i="1"/>
  <c r="G89" i="1" s="1"/>
  <c r="D90" i="1"/>
  <c r="G90" i="1" s="1"/>
  <c r="D91" i="1"/>
  <c r="G91" i="1" s="1"/>
  <c r="D92" i="1"/>
  <c r="E92" i="1"/>
  <c r="D93" i="1"/>
  <c r="G93" i="1" s="1"/>
  <c r="D94" i="1"/>
  <c r="G94" i="1" s="1"/>
  <c r="D95" i="1"/>
  <c r="G95" i="1" s="1"/>
  <c r="D96" i="1"/>
  <c r="G96" i="1" s="1"/>
  <c r="D97" i="1"/>
  <c r="G97" i="1" s="1"/>
  <c r="D98" i="1"/>
  <c r="E98" i="1"/>
  <c r="D99" i="1"/>
  <c r="E99" i="1"/>
  <c r="E82" i="1" s="1"/>
  <c r="D100" i="1"/>
  <c r="G100" i="1" s="1"/>
  <c r="D101" i="1"/>
  <c r="E101" i="1"/>
  <c r="F101" i="1"/>
  <c r="D102" i="1"/>
  <c r="G102" i="1" s="1"/>
  <c r="D103" i="1"/>
  <c r="G103" i="1" s="1"/>
  <c r="E105" i="1"/>
  <c r="F105" i="1"/>
  <c r="E106" i="1"/>
  <c r="F107" i="1"/>
  <c r="E110" i="1"/>
  <c r="F110" i="1"/>
  <c r="E118" i="1"/>
  <c r="D82" i="1" l="1"/>
  <c r="E14" i="1"/>
  <c r="C14" i="1"/>
  <c r="E13" i="1"/>
  <c r="C13" i="1"/>
  <c r="G101" i="1"/>
  <c r="D37" i="1"/>
  <c r="G49" i="1"/>
  <c r="G98" i="1"/>
  <c r="G31" i="1"/>
  <c r="G39" i="1"/>
  <c r="G37" i="1" s="1"/>
  <c r="G92" i="1"/>
  <c r="G7" i="1"/>
  <c r="F37" i="1"/>
  <c r="F13" i="1" s="1"/>
  <c r="G99" i="1"/>
  <c r="G82" i="1" s="1"/>
  <c r="D25" i="1"/>
  <c r="F38" i="1"/>
  <c r="F14" i="1" s="1"/>
  <c r="D15" i="1"/>
  <c r="D70" i="1"/>
  <c r="G50" i="1"/>
  <c r="D38" i="1"/>
  <c r="G26" i="1"/>
  <c r="G32" i="1"/>
  <c r="F57" i="1"/>
  <c r="D69" i="1"/>
  <c r="D5" i="1"/>
  <c r="D32" i="1"/>
  <c r="C57" i="1"/>
  <c r="G15" i="1"/>
  <c r="D59" i="1"/>
  <c r="D26" i="1"/>
  <c r="D16" i="1"/>
  <c r="G8" i="1"/>
  <c r="C58" i="1"/>
  <c r="D49" i="1"/>
  <c r="D31" i="1"/>
  <c r="F58" i="1"/>
  <c r="F5" i="1"/>
  <c r="D81" i="1"/>
  <c r="G60" i="1"/>
  <c r="G16" i="1"/>
  <c r="F104" i="1"/>
  <c r="E104" i="1"/>
  <c r="E81" i="1"/>
  <c r="E57" i="1" s="1"/>
  <c r="E58" i="1"/>
  <c r="E5" i="1"/>
  <c r="G70" i="1"/>
  <c r="G25" i="1"/>
  <c r="D50" i="1"/>
  <c r="D60" i="1"/>
  <c r="G71" i="1"/>
  <c r="G69" i="1" s="1"/>
  <c r="G61" i="1"/>
  <c r="G59" i="1" s="1"/>
  <c r="G40" i="1"/>
  <c r="AM15" i="4"/>
  <c r="AM11" i="4"/>
  <c r="D14" i="1" l="1"/>
  <c r="G81" i="1"/>
  <c r="G57" i="1" s="1"/>
  <c r="D13" i="1"/>
  <c r="G13" i="1"/>
  <c r="G5" i="1"/>
  <c r="F12" i="1"/>
  <c r="E12" i="1"/>
  <c r="G58" i="1"/>
  <c r="C12" i="1"/>
  <c r="D58" i="1"/>
  <c r="F11" i="1"/>
  <c r="C11" i="1"/>
  <c r="D57" i="1"/>
  <c r="G38" i="1"/>
  <c r="E11" i="1"/>
  <c r="C5" i="2"/>
  <c r="C13" i="2"/>
  <c r="D12" i="1" l="1"/>
  <c r="G14" i="1"/>
  <c r="G12" i="1" s="1"/>
  <c r="G11" i="1"/>
  <c r="D11" i="1"/>
  <c r="AB15" i="4"/>
  <c r="AB10" i="4"/>
  <c r="W10" i="4"/>
  <c r="R15" i="4" l="1"/>
  <c r="AB11" i="4" l="1"/>
  <c r="O4" i="4" l="1"/>
  <c r="O15" i="4" l="1"/>
  <c r="E15" i="4" l="1"/>
  <c r="C3" i="2" l="1"/>
  <c r="W16" i="4" l="1"/>
  <c r="AB16" i="4"/>
  <c r="W28" i="4"/>
  <c r="AE26" i="4"/>
  <c r="AE18" i="4"/>
  <c r="AB18" i="4"/>
  <c r="AB26" i="4"/>
  <c r="W18" i="4"/>
  <c r="W26" i="4"/>
  <c r="R18" i="4"/>
  <c r="W14" i="4"/>
  <c r="M16" i="4"/>
  <c r="AK16" i="4"/>
  <c r="AH16" i="4"/>
  <c r="AE16" i="4"/>
  <c r="Z16" i="4"/>
  <c r="R16" i="4" l="1"/>
  <c r="O16" i="4"/>
  <c r="O14" i="4"/>
  <c r="AF21" i="4" l="1"/>
  <c r="AF7" i="4"/>
  <c r="AF20" i="4" s="1"/>
  <c r="AF22" i="4" l="1"/>
  <c r="AH8" i="4" l="1"/>
  <c r="H13" i="2" l="1"/>
  <c r="G17" i="2" l="1"/>
  <c r="G13" i="2"/>
  <c r="I13" i="2" s="1"/>
  <c r="G10" i="2"/>
  <c r="G7" i="2"/>
  <c r="AB8" i="4"/>
  <c r="E14" i="2" l="1"/>
  <c r="E11" i="2"/>
  <c r="I21" i="4" l="1"/>
  <c r="I7" i="4"/>
  <c r="D18" i="2" l="1"/>
  <c r="D16" i="2"/>
  <c r="E16" i="2" s="1"/>
  <c r="D15" i="2"/>
  <c r="E15" i="2" s="1"/>
  <c r="D12" i="2"/>
  <c r="E12" i="2" s="1"/>
  <c r="D10" i="2"/>
  <c r="E10" i="2" s="1"/>
  <c r="D9" i="2"/>
  <c r="E9" i="2" s="1"/>
  <c r="D8" i="2"/>
  <c r="E8" i="2" s="1"/>
  <c r="D7" i="2"/>
  <c r="E7" i="2" s="1"/>
  <c r="D6" i="2"/>
  <c r="D5" i="2"/>
  <c r="E5" i="2" s="1"/>
  <c r="H18" i="2"/>
  <c r="I18" i="2" s="1"/>
  <c r="H16" i="2"/>
  <c r="E18" i="2" l="1"/>
  <c r="D17" i="2"/>
  <c r="E17" i="2" s="1"/>
  <c r="I16" i="2"/>
  <c r="H17" i="2" l="1"/>
  <c r="H9" i="2"/>
  <c r="I9" i="2" s="1"/>
  <c r="H6" i="2"/>
  <c r="H7" i="2" l="1"/>
  <c r="I7" i="2" s="1"/>
  <c r="H8" i="2"/>
  <c r="I8" i="2" s="1"/>
  <c r="H10" i="2"/>
  <c r="I10" i="2" s="1"/>
  <c r="AI7" i="4" l="1"/>
  <c r="AI21" i="4"/>
  <c r="AH7" i="4" l="1"/>
  <c r="AH21" i="4"/>
  <c r="AC7" i="4" l="1"/>
  <c r="AE7" i="4" l="1"/>
  <c r="AB7" i="4"/>
  <c r="AE21" i="4"/>
  <c r="AC21" i="4"/>
  <c r="X7" i="4"/>
  <c r="W7" i="4" l="1"/>
  <c r="X21" i="4"/>
  <c r="AB21" i="4"/>
  <c r="S7" i="4"/>
  <c r="S21" i="4"/>
  <c r="Z7" i="4" l="1"/>
  <c r="R7" i="4"/>
  <c r="Z21" i="4"/>
  <c r="W21" i="4"/>
  <c r="P7" i="4" l="1"/>
  <c r="R21" i="4"/>
  <c r="P21" i="4" l="1"/>
  <c r="O21" i="4" l="1"/>
  <c r="O7" i="4"/>
  <c r="K7" i="4" l="1"/>
  <c r="G7" i="4"/>
  <c r="E7" i="4"/>
  <c r="U8" i="4"/>
  <c r="C7" i="4"/>
  <c r="M7" i="4" l="1"/>
  <c r="G21" i="4"/>
  <c r="E21" i="4"/>
  <c r="C21" i="4"/>
  <c r="I17" i="2"/>
  <c r="M21" i="4" l="1"/>
  <c r="H5" i="2"/>
  <c r="I5" i="2" s="1"/>
  <c r="H21" i="4" l="1"/>
  <c r="AJ7" i="4"/>
  <c r="AG7" i="4"/>
  <c r="AG20" i="4" s="1"/>
  <c r="AD7" i="4"/>
  <c r="AD20" i="4" s="1"/>
  <c r="AC20" i="4"/>
  <c r="AA7" i="4"/>
  <c r="Y7" i="4"/>
  <c r="Y20" i="4" s="1"/>
  <c r="X20" i="4"/>
  <c r="T7" i="4"/>
  <c r="T20" i="4" s="1"/>
  <c r="S20" i="4"/>
  <c r="Q7" i="4"/>
  <c r="Q20" i="4" s="1"/>
  <c r="P20" i="4"/>
  <c r="N7" i="4"/>
  <c r="N20" i="4" s="1"/>
  <c r="L7" i="4"/>
  <c r="L20" i="4" s="1"/>
  <c r="J7" i="4"/>
  <c r="J20" i="4" s="1"/>
  <c r="F7" i="4"/>
  <c r="F20" i="4" s="1"/>
  <c r="D7" i="4"/>
  <c r="D20" i="4" s="1"/>
  <c r="B7" i="4"/>
  <c r="B20" i="4" s="1"/>
  <c r="B21" i="4"/>
  <c r="C8" i="4"/>
  <c r="H20" i="4"/>
  <c r="AJ20" i="4" l="1"/>
  <c r="AA20" i="4"/>
  <c r="M8" i="4"/>
  <c r="O8" i="4"/>
  <c r="R8" i="4"/>
  <c r="AK8" i="4"/>
  <c r="W8" i="4"/>
  <c r="G8" i="4"/>
  <c r="G20" i="4" s="1"/>
  <c r="Z8" i="4"/>
  <c r="I8" i="4"/>
  <c r="I20" i="4" s="1"/>
  <c r="AE8" i="4"/>
  <c r="C20" i="4"/>
  <c r="C22" i="4" s="1"/>
  <c r="K8" i="4"/>
  <c r="K20" i="4" s="1"/>
  <c r="H22" i="4"/>
  <c r="B22" i="4"/>
  <c r="E8" i="4" l="1"/>
  <c r="E20" i="4" s="1"/>
  <c r="E13" i="2" l="1"/>
  <c r="H15" i="2"/>
  <c r="I15" i="2" s="1"/>
  <c r="H12" i="2"/>
  <c r="I12" i="2" s="1"/>
  <c r="E6" i="2"/>
  <c r="I14" i="2"/>
  <c r="I11" i="2"/>
  <c r="AJ21" i="4"/>
  <c r="AJ22" i="4" s="1"/>
  <c r="U7" i="4" l="1"/>
  <c r="K21" i="4"/>
  <c r="K22" i="4" s="1"/>
  <c r="AL22" i="4"/>
  <c r="AA21" i="4"/>
  <c r="AA22" i="4" s="1"/>
  <c r="AC22" i="4"/>
  <c r="D21" i="4"/>
  <c r="D22" i="4" s="1"/>
  <c r="F21" i="4"/>
  <c r="F22" i="4" s="1"/>
  <c r="AD21" i="4"/>
  <c r="AD22" i="4" s="1"/>
  <c r="L21" i="4"/>
  <c r="L22" i="4" s="1"/>
  <c r="AG21" i="4"/>
  <c r="AG22" i="4" s="1"/>
  <c r="E22" i="4"/>
  <c r="R20" i="4"/>
  <c r="M20" i="4"/>
  <c r="P22" i="4"/>
  <c r="V7" i="4"/>
  <c r="G22" i="4"/>
  <c r="S22" i="4"/>
  <c r="Z20" i="4"/>
  <c r="W20" i="4"/>
  <c r="Y21" i="4"/>
  <c r="Y22" i="4" s="1"/>
  <c r="Q21" i="4"/>
  <c r="Q22" i="4" s="1"/>
  <c r="J21" i="4"/>
  <c r="J22" i="4" s="1"/>
  <c r="N21" i="4"/>
  <c r="N22" i="4" s="1"/>
  <c r="X22" i="4"/>
  <c r="I22" i="4"/>
  <c r="T21" i="4"/>
  <c r="T22" i="4" s="1"/>
  <c r="AH20" i="4" l="1"/>
  <c r="AE20" i="4"/>
  <c r="AI20" i="4"/>
  <c r="U20" i="4"/>
  <c r="O20" i="4"/>
  <c r="W22" i="4"/>
  <c r="M22" i="4"/>
  <c r="I6" i="2"/>
  <c r="R22" i="4"/>
  <c r="V21" i="4"/>
  <c r="V20" i="4"/>
  <c r="Z22" i="4"/>
  <c r="AB20" i="4"/>
  <c r="G3" i="2"/>
  <c r="U21" i="4" l="1"/>
  <c r="U22" i="4" s="1"/>
  <c r="O22" i="4"/>
  <c r="AI22" i="4"/>
  <c r="AE22" i="4"/>
  <c r="AH22" i="4"/>
  <c r="AM22" i="4"/>
  <c r="V22" i="4"/>
  <c r="AB22" i="4"/>
  <c r="AB29" i="4" s="1"/>
  <c r="D3" i="2"/>
  <c r="H3" i="2" l="1"/>
  <c r="E3" i="2"/>
  <c r="I3" i="2" l="1"/>
  <c r="AK7" i="4" l="1"/>
  <c r="AK20" i="4" l="1"/>
  <c r="AK21" i="4"/>
  <c r="AK22" i="4" l="1"/>
</calcChain>
</file>

<file path=xl/sharedStrings.xml><?xml version="1.0" encoding="utf-8"?>
<sst xmlns="http://schemas.openxmlformats.org/spreadsheetml/2006/main" count="227" uniqueCount="124">
  <si>
    <t>eurodes</t>
  </si>
  <si>
    <t>Algne eelarve</t>
  </si>
  <si>
    <t>Lõplik eelarve</t>
  </si>
  <si>
    <t>Täitmine miinus lõplik eelarve</t>
  </si>
  <si>
    <t>Maksud ja sotsiaalkindlustusmaksed</t>
  </si>
  <si>
    <t>Saadud toetused</t>
  </si>
  <si>
    <t>Riigilõivud</t>
  </si>
  <si>
    <t>Tulu majandustegevusest</t>
  </si>
  <si>
    <t>Trahvid ja muud varalised karistused</t>
  </si>
  <si>
    <t>sh piirmääraga vahendid</t>
  </si>
  <si>
    <t>Mitterahaliselt antud toetused</t>
  </si>
  <si>
    <t xml:space="preserve">TULUD </t>
  </si>
  <si>
    <t>KULUD</t>
  </si>
  <si>
    <t xml:space="preserve">INVESTEERINGUD </t>
  </si>
  <si>
    <t>KORRIGEERIMISED</t>
  </si>
  <si>
    <t>Kontroll</t>
  </si>
  <si>
    <t>Investeeringud</t>
  </si>
  <si>
    <t>Tulem osaluste ümberhindamisest</t>
  </si>
  <si>
    <t>Edasiantud maksutulu, tekkepõhise ja kassapõhise kulu vahe</t>
  </si>
  <si>
    <t>Ebatõenäoliselt laekuvad arved, tulu taastamine</t>
  </si>
  <si>
    <t>Ebatõenäoliselt laekuvad arved, kulu taastamine</t>
  </si>
  <si>
    <t>Saadud välistoetuste kaasrahastamine teistelt riigiasutustelt</t>
  </si>
  <si>
    <t>Laste ja perede programm</t>
  </si>
  <si>
    <t>Tulemusvaldkond: HEAOLU</t>
  </si>
  <si>
    <t xml:space="preserve">Tööturuprogramm </t>
  </si>
  <si>
    <t>Tulemusvaldkond: TERVIS</t>
  </si>
  <si>
    <t>Tervist toetava keskkonna programm</t>
  </si>
  <si>
    <t>Tervist toetavate valikute programm</t>
  </si>
  <si>
    <t>Inimkeskse tervishoiu programm</t>
  </si>
  <si>
    <t>Eraldistelt arvestatud intressikulu</t>
  </si>
  <si>
    <t>Pensionieraldiste moodustamine</t>
  </si>
  <si>
    <t>Pensionieraldiste väljamaksed, elimineerimine kuludest</t>
  </si>
  <si>
    <t xml:space="preserve">Lisa </t>
  </si>
  <si>
    <t>Eelarve täitmise ja raamatupidamisaruannete võrdlus</t>
  </si>
  <si>
    <t>Kirje</t>
  </si>
  <si>
    <t>Selgitus</t>
  </si>
  <si>
    <t>Finantstulud</t>
  </si>
  <si>
    <t>Finantskulud</t>
  </si>
  <si>
    <t>3sisesed</t>
  </si>
  <si>
    <t>4,5,6sisesed</t>
  </si>
  <si>
    <t>SOM</t>
  </si>
  <si>
    <t>Lõpliku eelarve kujunemine</t>
  </si>
  <si>
    <t>Tulud</t>
  </si>
  <si>
    <t>Fin tehingud</t>
  </si>
  <si>
    <t>Esialgne eelarve</t>
  </si>
  <si>
    <t>Üle toodud eelmisest aastast</t>
  </si>
  <si>
    <t>Sihtotstarbeliste vahendite reservist</t>
  </si>
  <si>
    <t>Eelarves kavandatud toetused</t>
  </si>
  <si>
    <t>Tegelikult saadud toetused ja avatud sildfinantseerimine</t>
  </si>
  <si>
    <t>Eelarves kavandatud majandustegevusest laekuv tulu</t>
  </si>
  <si>
    <t>Tegelikult majandustegevusest saadud tulu</t>
  </si>
  <si>
    <t>Kokku lõplik eelarve</t>
  </si>
  <si>
    <t>Käibemaks</t>
  </si>
  <si>
    <t>Käibemaksukulu tegevuskuludelt</t>
  </si>
  <si>
    <t>Muud tulud</t>
  </si>
  <si>
    <t>Kogumispensioni 4% väljamaksed eelarve kuludes, elimineerimine</t>
  </si>
  <si>
    <t xml:space="preserve">Teistele valitsemisaladele vahendatud välistoetused ja kaasfinantseerimine </t>
  </si>
  <si>
    <t>Teistele valitsemisaladele vahendatud välistoetused (tulu taastamine)</t>
  </si>
  <si>
    <t>Eelarves kavandatud välistoetuste kaasrahastamine</t>
  </si>
  <si>
    <t>Tegelik välistoetuste kaasrahastamine</t>
  </si>
  <si>
    <t>Täitmine 2022</t>
  </si>
  <si>
    <t>Raamatupidamisandmed 2022</t>
  </si>
  <si>
    <t>RE aruanne 2022</t>
  </si>
  <si>
    <t>Vahe 2022</t>
  </si>
  <si>
    <t>sh käibemaks</t>
  </si>
  <si>
    <t>Käibemaksukulu investeeringutelt</t>
  </si>
  <si>
    <t>Tegevuskulud, v.a käibemaksukulu</t>
  </si>
  <si>
    <t>Kulud, investeeringud</t>
  </si>
  <si>
    <t xml:space="preserve">SOTSIAALMINISTEERIUMI valitsemisala </t>
  </si>
  <si>
    <t>Tööturuvaldkonna arendamine</t>
  </si>
  <si>
    <t>Aktiivsed ja passiivsed tööturuteenused</t>
  </si>
  <si>
    <t>Erivajadustega inimeste toimetulek ja tööalane tegevus</t>
  </si>
  <si>
    <t>Teenused ohvritele ja vägivallatsejatele</t>
  </si>
  <si>
    <t>Soolise võrdõiguslikkuse valdkonna arendamine</t>
  </si>
  <si>
    <t>Soolise võrdõiguslikkuse ja võrdse kohtlemise volinik</t>
  </si>
  <si>
    <t>Hüvitised ja toetused lastele ja peredele</t>
  </si>
  <si>
    <t>Tervist toetava ning parendava keskkonna kujundamine</t>
  </si>
  <si>
    <t>Vee, õhu ning müra ja kiirgusega seotud terviseriskid</t>
  </si>
  <si>
    <t>Kemikaalide ohutus ja riskide vähendamine</t>
  </si>
  <si>
    <t>Toodete ja teenuste ohutus ja riskide vähendamine</t>
  </si>
  <si>
    <t>Vaimse tervise edendamine</t>
  </si>
  <si>
    <t>Tasakaalustatud toitumise ja füüsilise aktiivsuse edendamine</t>
  </si>
  <si>
    <t>Uimastite tarvitamise ennetamine ja vähendamine</t>
  </si>
  <si>
    <t>Nakkushaiguste leviku tõkestamine (HIV, TB ja hepatiidid)</t>
  </si>
  <si>
    <t>Terviseriskide ennetamise ja tervise edendamise korraldamine</t>
  </si>
  <si>
    <t>Inimkeskse tervishoiu valdkonna arendamine</t>
  </si>
  <si>
    <t>Personali võimekus, juhtimine ja vastutus</t>
  </si>
  <si>
    <t>Tervisesüsteemi kvaliteet ja patsiendiohutus</t>
  </si>
  <si>
    <t>Ravimite ja meditsiiniseadmete valdkonna arendamine</t>
  </si>
  <si>
    <t>Ravimite, verepreparaatide ja meditsiiniseadmete kättesaadavus</t>
  </si>
  <si>
    <t>Nakkushaiguste leviku tõkestamine (vaktsineerimine, AMR)</t>
  </si>
  <si>
    <t>Kogumispensioni 4% maksete peatamise ja tootluse kulu</t>
  </si>
  <si>
    <t>2023. aasta riigieelarve täitmise arunne</t>
  </si>
  <si>
    <t>Täitmine 2023</t>
  </si>
  <si>
    <t>Tööelu kvaliteedi arendamine</t>
  </si>
  <si>
    <t>Vanemaealiste programm</t>
  </si>
  <si>
    <t>Vanemaealiste heaolu ja ühiskonnaelus osalemise toetamine</t>
  </si>
  <si>
    <t>Pensionisüsteemi kujundamine ja hüvitiste maksmine</t>
  </si>
  <si>
    <t>Pikaajalise hoolduse poliitika kujundamine, KOV võimestamine</t>
  </si>
  <si>
    <t>Hoolekande kättesaadavuse tagamine, toimetuleku toetamine</t>
  </si>
  <si>
    <t>Sotsiaalhoolekande programm</t>
  </si>
  <si>
    <t>Lapsi ja peresid toetavate meetmete arendamine ja pakkumine</t>
  </si>
  <si>
    <t>Laste ja perede ning ohvriabi valdkonna arendamine</t>
  </si>
  <si>
    <t>Võrdse kohtlemise valdkonna arendamine</t>
  </si>
  <si>
    <t>Soolise võrdsuse ja võrdse kohtlemise programm</t>
  </si>
  <si>
    <t>Inimeste terviseharitus ja põhiõiguste kaitse</t>
  </si>
  <si>
    <t>Tervishoiuteenuste mudelite ümberkujundamine</t>
  </si>
  <si>
    <t>Tervise ebavõrdsuse vähendamine ja ravikindlustuse tagamine</t>
  </si>
  <si>
    <t>Muudatused riigieelarve seaduse muutmise seaduse alusel alates 01.07.2023</t>
  </si>
  <si>
    <t>Muudatused riigieelarve seaduse muutmise seaduse alusel detsembris 2023</t>
  </si>
  <si>
    <t>liik 44 planeeritud kulusid 633999.- rohkem kui tulusid</t>
  </si>
  <si>
    <t>liik 44 planeeritud kulusid 521181.- rohkem kui tulusid</t>
  </si>
  <si>
    <t>liik 44 planeeritud kulusid 526681.- vähem kui tulusid</t>
  </si>
  <si>
    <t>liik 44 planeeritud kulusid 5499.- rohkem kui tulusid</t>
  </si>
  <si>
    <t>ümbertõstmised</t>
  </si>
  <si>
    <t>liik 45 115000 tulusid vähem kui kulusid</t>
  </si>
  <si>
    <t>liik 45 115000 tulusid rohkem kui kulusid</t>
  </si>
  <si>
    <t>Ümber jaotatatud tulust sõltuvate vahendite jäägid alates 01.07.2023</t>
  </si>
  <si>
    <t>Ümber jaotatatud 2022. aastast üle toodud piirmääraga vahendite jäägid alates 01.07.2023 (v.a reservid)</t>
  </si>
  <si>
    <t>Vahe 2023</t>
  </si>
  <si>
    <t>RE aruanne 2023</t>
  </si>
  <si>
    <t>Raamatupidamisandmed 2023</t>
  </si>
  <si>
    <t>Abivajavaid lapsi ja peresid toetavad teenused</t>
  </si>
  <si>
    <t>Saldoandmik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</si>
</sst>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0" fillId="0" borderId="0" xfId="0" applyFont="1"/>
    <xf numFmtId="3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12" fillId="0" borderId="1" xfId="0" applyNumberFormat="1" applyFont="1" applyBorder="1"/>
    <xf numFmtId="0" fontId="8" fillId="0" borderId="0" xfId="0" applyFont="1"/>
    <xf numFmtId="0" fontId="12" fillId="0" borderId="0" xfId="0" applyFont="1"/>
    <xf numFmtId="3" fontId="0" fillId="0" borderId="0" xfId="0" quotePrefix="1" applyNumberFormat="1"/>
    <xf numFmtId="0" fontId="8" fillId="0" borderId="0" xfId="0" quotePrefix="1" applyFont="1"/>
    <xf numFmtId="3" fontId="12" fillId="0" borderId="0" xfId="0" applyNumberFormat="1" applyFont="1" applyAlignment="1">
      <alignment vertical="top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3" fontId="12" fillId="2" borderId="1" xfId="0" applyNumberFormat="1" applyFont="1" applyFill="1" applyBorder="1" applyAlignment="1">
      <alignment vertical="top"/>
    </xf>
    <xf numFmtId="3" fontId="12" fillId="0" borderId="1" xfId="0" applyNumberFormat="1" applyFont="1" applyBorder="1" applyAlignment="1" applyProtection="1">
      <alignment horizontal="right" vertical="top"/>
      <protection locked="0"/>
    </xf>
    <xf numFmtId="3" fontId="8" fillId="0" borderId="1" xfId="0" applyNumberFormat="1" applyFont="1" applyBorder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2" fillId="0" borderId="0" xfId="0" applyNumberFormat="1" applyFont="1"/>
    <xf numFmtId="3" fontId="12" fillId="0" borderId="2" xfId="0" applyNumberFormat="1" applyFont="1" applyBorder="1" applyAlignment="1">
      <alignment vertical="top"/>
    </xf>
    <xf numFmtId="0" fontId="11" fillId="0" borderId="0" xfId="0" applyFont="1"/>
    <xf numFmtId="0" fontId="14" fillId="0" borderId="0" xfId="0" applyFont="1"/>
    <xf numFmtId="4" fontId="0" fillId="0" borderId="0" xfId="0" applyNumberFormat="1" applyAlignment="1">
      <alignment horizontal="right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8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3" fontId="1" fillId="0" borderId="0" xfId="6" applyFont="1"/>
    <xf numFmtId="43" fontId="11" fillId="0" borderId="0" xfId="6" applyFont="1"/>
    <xf numFmtId="0" fontId="13" fillId="0" borderId="0" xfId="0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 applyProtection="1">
      <alignment vertical="top"/>
      <protection locked="0"/>
    </xf>
    <xf numFmtId="43" fontId="1" fillId="0" borderId="0" xfId="6" applyFont="1" applyFill="1"/>
    <xf numFmtId="43" fontId="0" fillId="0" borderId="0" xfId="6" applyFont="1" applyFill="1"/>
    <xf numFmtId="43" fontId="8" fillId="0" borderId="0" xfId="6" applyFont="1"/>
    <xf numFmtId="0" fontId="3" fillId="0" borderId="1" xfId="0" applyFont="1" applyBorder="1" applyAlignment="1">
      <alignment horizontal="left"/>
    </xf>
    <xf numFmtId="0" fontId="5" fillId="0" borderId="1" xfId="1" applyFont="1" applyBorder="1" applyAlignment="1" applyProtection="1">
      <alignment horizontal="left"/>
      <protection locked="0"/>
    </xf>
    <xf numFmtId="0" fontId="12" fillId="0" borderId="1" xfId="0" applyFont="1" applyBorder="1"/>
    <xf numFmtId="3" fontId="13" fillId="0" borderId="0" xfId="0" applyNumberFormat="1" applyFont="1" applyAlignment="1">
      <alignment horizontal="center" wrapText="1"/>
    </xf>
    <xf numFmtId="0" fontId="13" fillId="0" borderId="0" xfId="2" applyFont="1" applyAlignment="1" applyProtection="1">
      <alignment horizontal="left"/>
      <protection locked="0"/>
    </xf>
    <xf numFmtId="3" fontId="14" fillId="0" borderId="0" xfId="0" applyNumberFormat="1" applyFont="1"/>
    <xf numFmtId="0" fontId="13" fillId="0" borderId="0" xfId="0" applyFont="1" applyAlignment="1">
      <alignment horizontal="left"/>
    </xf>
    <xf numFmtId="3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2" applyFont="1" applyAlignment="1" applyProtection="1">
      <alignment horizontal="left"/>
      <protection locked="0"/>
    </xf>
    <xf numFmtId="3" fontId="13" fillId="0" borderId="0" xfId="0" applyNumberFormat="1" applyFont="1" applyAlignment="1">
      <alignment horizontal="left"/>
    </xf>
    <xf numFmtId="0" fontId="13" fillId="0" borderId="0" xfId="1" applyFont="1" applyAlignment="1" applyProtection="1">
      <alignment horizontal="left"/>
      <protection locked="0"/>
    </xf>
    <xf numFmtId="0" fontId="14" fillId="0" borderId="0" xfId="1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3" fillId="3" borderId="1" xfId="1" applyFont="1" applyFill="1" applyBorder="1" applyAlignment="1" applyProtection="1">
      <alignment horizontal="left"/>
      <protection locked="0"/>
    </xf>
    <xf numFmtId="3" fontId="6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3" fillId="3" borderId="1" xfId="2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/>
    <xf numFmtId="0" fontId="5" fillId="3" borderId="1" xfId="2" applyFont="1" applyFill="1" applyBorder="1" applyAlignment="1" applyProtection="1">
      <alignment horizontal="left"/>
      <protection locked="0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3" fillId="4" borderId="1" xfId="2" applyFont="1" applyFill="1" applyBorder="1" applyAlignment="1" applyProtection="1">
      <alignment horizontal="left"/>
      <protection locked="0"/>
    </xf>
    <xf numFmtId="3" fontId="6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5" fillId="4" borderId="1" xfId="2" applyFont="1" applyFill="1" applyBorder="1" applyAlignment="1" applyProtection="1">
      <alignment horizontal="left"/>
      <protection locked="0"/>
    </xf>
    <xf numFmtId="3" fontId="7" fillId="4" borderId="1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0" fontId="3" fillId="4" borderId="1" xfId="1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3" fontId="9" fillId="4" borderId="1" xfId="0" applyNumberFormat="1" applyFont="1" applyFill="1" applyBorder="1" applyAlignment="1">
      <alignment horizontal="right"/>
    </xf>
    <xf numFmtId="3" fontId="5" fillId="4" borderId="1" xfId="2" applyNumberFormat="1" applyFont="1" applyFill="1" applyBorder="1" applyAlignment="1" applyProtection="1">
      <alignment horizontal="right"/>
      <protection locked="0"/>
    </xf>
    <xf numFmtId="3" fontId="5" fillId="4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top"/>
    </xf>
    <xf numFmtId="4" fontId="10" fillId="4" borderId="1" xfId="0" applyNumberFormat="1" applyFont="1" applyFill="1" applyBorder="1" applyAlignment="1">
      <alignment horizontal="right" vertical="top" wrapText="1"/>
    </xf>
    <xf numFmtId="4" fontId="10" fillId="4" borderId="1" xfId="0" applyNumberFormat="1" applyFont="1" applyFill="1" applyBorder="1" applyAlignment="1">
      <alignment vertical="top"/>
    </xf>
    <xf numFmtId="4" fontId="10" fillId="4" borderId="1" xfId="0" applyNumberFormat="1" applyFont="1" applyFill="1" applyBorder="1" applyAlignment="1">
      <alignment vertical="top" wrapText="1"/>
    </xf>
    <xf numFmtId="3" fontId="12" fillId="4" borderId="1" xfId="0" applyNumberFormat="1" applyFont="1" applyFill="1" applyBorder="1" applyAlignment="1">
      <alignment horizontal="center" vertical="top" wrapText="1"/>
    </xf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O120"/>
  <sheetViews>
    <sheetView tabSelected="1" zoomScale="90" zoomScaleNormal="90" workbookViewId="0">
      <selection activeCell="F134" sqref="F134"/>
    </sheetView>
  </sheetViews>
  <sheetFormatPr defaultRowHeight="15" x14ac:dyDescent="0.25"/>
  <cols>
    <col min="1" max="1" width="7.42578125" customWidth="1"/>
    <col min="2" max="2" width="53.42578125" customWidth="1"/>
    <col min="3" max="7" width="22" style="1" customWidth="1"/>
    <col min="8" max="8" width="19.7109375" style="35" customWidth="1"/>
    <col min="9" max="9" width="18.85546875" style="35" bestFit="1" customWidth="1"/>
    <col min="10" max="10" width="44.5703125" style="32" customWidth="1"/>
    <col min="11" max="11" width="13.42578125" style="32" bestFit="1" customWidth="1"/>
    <col min="12" max="12" width="13.42578125" style="32" customWidth="1"/>
    <col min="13" max="13" width="13" style="32" customWidth="1"/>
    <col min="14" max="14" width="13.5703125" style="32" customWidth="1"/>
    <col min="15" max="15" width="13.7109375" style="32" customWidth="1"/>
  </cols>
  <sheetData>
    <row r="1" spans="1:15" ht="15.75" x14ac:dyDescent="0.25">
      <c r="A1" s="41" t="s">
        <v>92</v>
      </c>
      <c r="C1" s="42"/>
      <c r="G1" s="43"/>
      <c r="J1" s="40"/>
    </row>
    <row r="2" spans="1:15" ht="15.75" x14ac:dyDescent="0.25">
      <c r="A2" t="s">
        <v>0</v>
      </c>
      <c r="C2" s="42"/>
      <c r="G2" s="43"/>
    </row>
    <row r="3" spans="1:15" ht="31.5" x14ac:dyDescent="0.25">
      <c r="A3" s="44"/>
      <c r="B3" s="44"/>
      <c r="C3" s="2" t="s">
        <v>1</v>
      </c>
      <c r="D3" s="2" t="s">
        <v>2</v>
      </c>
      <c r="E3" s="2" t="s">
        <v>93</v>
      </c>
      <c r="F3" s="2" t="s">
        <v>60</v>
      </c>
      <c r="G3" s="2" t="s">
        <v>3</v>
      </c>
      <c r="K3" s="56"/>
      <c r="L3" s="56"/>
      <c r="M3" s="56"/>
      <c r="N3" s="56"/>
      <c r="O3" s="56"/>
    </row>
    <row r="4" spans="1:15" ht="15.75" x14ac:dyDescent="0.25">
      <c r="A4" s="71" t="s">
        <v>68</v>
      </c>
      <c r="B4" s="77"/>
      <c r="C4" s="4"/>
      <c r="D4" s="4"/>
      <c r="E4" s="34"/>
      <c r="F4" s="34"/>
      <c r="G4" s="3"/>
      <c r="J4" s="57"/>
      <c r="K4" s="58"/>
      <c r="L4" s="58"/>
      <c r="M4" s="58"/>
      <c r="N4" s="58"/>
      <c r="O4" s="58"/>
    </row>
    <row r="5" spans="1:15" ht="15.75" x14ac:dyDescent="0.25">
      <c r="A5" s="72" t="s">
        <v>11</v>
      </c>
      <c r="B5" s="72"/>
      <c r="C5" s="68">
        <f>SUM(C6:C10)</f>
        <v>174288355</v>
      </c>
      <c r="D5" s="68">
        <f>SUM(D6:D10)</f>
        <v>150000817</v>
      </c>
      <c r="E5" s="68">
        <f>SUM(E6:E10)</f>
        <v>162824813.76999998</v>
      </c>
      <c r="F5" s="68">
        <f>SUM(F6:F10)</f>
        <v>155512541.26999998</v>
      </c>
      <c r="G5" s="68">
        <f>SUM(G6:G10)</f>
        <v>12823996.769999994</v>
      </c>
      <c r="J5" s="59"/>
      <c r="K5" s="60"/>
      <c r="L5" s="60"/>
      <c r="M5" s="60"/>
      <c r="N5" s="60"/>
      <c r="O5" s="60"/>
    </row>
    <row r="6" spans="1:15" ht="15.75" x14ac:dyDescent="0.25">
      <c r="A6" s="45"/>
      <c r="B6" s="45" t="s">
        <v>6</v>
      </c>
      <c r="C6" s="4">
        <v>361000</v>
      </c>
      <c r="D6" s="4">
        <f>C6</f>
        <v>361000</v>
      </c>
      <c r="E6" s="4">
        <v>309623.27</v>
      </c>
      <c r="F6" s="4">
        <v>336439.51</v>
      </c>
      <c r="G6" s="4">
        <f>E6-D6</f>
        <v>-51376.729999999981</v>
      </c>
      <c r="H6" s="38"/>
      <c r="I6" s="38"/>
      <c r="J6" s="61"/>
      <c r="K6" s="58"/>
      <c r="L6" s="58"/>
      <c r="M6" s="58"/>
      <c r="N6" s="58"/>
      <c r="O6" s="58"/>
    </row>
    <row r="7" spans="1:15" ht="15.75" x14ac:dyDescent="0.25">
      <c r="A7" s="45"/>
      <c r="B7" s="45" t="s">
        <v>7</v>
      </c>
      <c r="C7" s="4">
        <v>6219210</v>
      </c>
      <c r="D7" s="4">
        <f>C7-76882</f>
        <v>6142328</v>
      </c>
      <c r="E7" s="4">
        <f>8989649.64-54913.65</f>
        <v>8934735.9900000002</v>
      </c>
      <c r="F7" s="4">
        <f>8561004.88-336439.51-1034.11</f>
        <v>8223531.2600000007</v>
      </c>
      <c r="G7" s="4">
        <f t="shared" ref="G7:G10" si="0">E7-D7</f>
        <v>2792407.99</v>
      </c>
      <c r="H7" s="38"/>
      <c r="I7" s="38"/>
      <c r="J7" s="61"/>
      <c r="K7" s="58"/>
      <c r="L7" s="58"/>
      <c r="M7" s="58"/>
      <c r="N7" s="58"/>
      <c r="O7" s="58"/>
    </row>
    <row r="8" spans="1:15" ht="15.75" x14ac:dyDescent="0.25">
      <c r="A8" s="45"/>
      <c r="B8" s="45" t="s">
        <v>5</v>
      </c>
      <c r="C8" s="4">
        <v>167150145</v>
      </c>
      <c r="D8" s="4">
        <f>C8-24179656</f>
        <v>142970489</v>
      </c>
      <c r="E8" s="4">
        <f>176558305-891647.59-1428308.55-21374680.48</f>
        <v>152863668.38</v>
      </c>
      <c r="F8" s="4">
        <f>190044286.53-42633377.25-720858.43-532639.81</f>
        <v>146157411.03999999</v>
      </c>
      <c r="G8" s="4">
        <f t="shared" si="0"/>
        <v>9893179.3799999952</v>
      </c>
      <c r="I8" s="38"/>
      <c r="J8" s="61"/>
      <c r="K8" s="58"/>
      <c r="L8" s="58"/>
      <c r="M8" s="58"/>
      <c r="N8" s="58"/>
      <c r="O8" s="58"/>
    </row>
    <row r="9" spans="1:15" ht="15.75" x14ac:dyDescent="0.25">
      <c r="A9" s="45"/>
      <c r="B9" s="45" t="s">
        <v>8</v>
      </c>
      <c r="C9" s="4">
        <v>60000</v>
      </c>
      <c r="D9" s="4">
        <f>C9-25000</f>
        <v>35000</v>
      </c>
      <c r="E9" s="4">
        <v>35787.01</v>
      </c>
      <c r="F9" s="4">
        <v>38986.04</v>
      </c>
      <c r="G9" s="4">
        <f t="shared" si="0"/>
        <v>787.01000000000204</v>
      </c>
      <c r="H9" s="38"/>
      <c r="I9" s="38"/>
      <c r="J9" s="61"/>
      <c r="K9" s="58"/>
      <c r="L9" s="58"/>
      <c r="M9" s="58"/>
      <c r="N9" s="58"/>
      <c r="O9" s="58"/>
    </row>
    <row r="10" spans="1:15" ht="15.75" x14ac:dyDescent="0.25">
      <c r="A10" s="45"/>
      <c r="B10" s="45" t="s">
        <v>54</v>
      </c>
      <c r="C10" s="4">
        <v>498000</v>
      </c>
      <c r="D10" s="4">
        <f>C10-6000</f>
        <v>492000</v>
      </c>
      <c r="E10" s="4">
        <v>680999.12</v>
      </c>
      <c r="F10" s="4">
        <f>756038.37+135.05</f>
        <v>756173.42</v>
      </c>
      <c r="G10" s="4">
        <f t="shared" si="0"/>
        <v>188999.12</v>
      </c>
      <c r="H10" s="38"/>
      <c r="I10" s="38"/>
      <c r="J10" s="61"/>
      <c r="K10" s="58"/>
      <c r="L10" s="58"/>
      <c r="M10" s="58"/>
      <c r="N10" s="58"/>
      <c r="O10" s="58"/>
    </row>
    <row r="11" spans="1:15" ht="15.75" x14ac:dyDescent="0.25">
      <c r="A11" s="78" t="s">
        <v>12</v>
      </c>
      <c r="B11" s="78"/>
      <c r="C11" s="79">
        <f>C13+C57+C100</f>
        <v>-7922673520</v>
      </c>
      <c r="D11" s="79">
        <f>D13+D57+D100</f>
        <v>-7587902287.9500008</v>
      </c>
      <c r="E11" s="79">
        <f>E13+E57+E100</f>
        <v>-7467013043.1100006</v>
      </c>
      <c r="F11" s="79">
        <f>F13+F57+F100</f>
        <v>-6851698071.5299997</v>
      </c>
      <c r="G11" s="79">
        <f>G13+G57+G100</f>
        <v>120889244.83999956</v>
      </c>
      <c r="J11" s="57"/>
      <c r="K11" s="60"/>
      <c r="L11" s="60"/>
      <c r="M11" s="60"/>
      <c r="N11" s="60"/>
      <c r="O11" s="60"/>
    </row>
    <row r="12" spans="1:15" ht="15.75" x14ac:dyDescent="0.25">
      <c r="A12" s="80"/>
      <c r="B12" s="81" t="s">
        <v>9</v>
      </c>
      <c r="C12" s="82">
        <f>C14+C58</f>
        <v>-322767176</v>
      </c>
      <c r="D12" s="82">
        <f>D14+D58</f>
        <v>-408543313.18999994</v>
      </c>
      <c r="E12" s="82">
        <f>E14+E58</f>
        <v>-364471294.89000005</v>
      </c>
      <c r="F12" s="82">
        <f>F14+F58</f>
        <v>-410190958.60000002</v>
      </c>
      <c r="G12" s="82">
        <f>G14+G58</f>
        <v>44072018.299999997</v>
      </c>
      <c r="J12" s="62"/>
      <c r="K12" s="58"/>
      <c r="L12" s="58"/>
      <c r="M12" s="58"/>
      <c r="N12" s="58"/>
      <c r="O12" s="58"/>
    </row>
    <row r="13" spans="1:15" ht="15.75" x14ac:dyDescent="0.25">
      <c r="A13" s="72" t="s">
        <v>23</v>
      </c>
      <c r="B13" s="67"/>
      <c r="C13" s="68">
        <f t="shared" ref="C13:G14" si="1">C15+C25+C31+C37+C49</f>
        <v>-5551782071</v>
      </c>
      <c r="D13" s="68">
        <f t="shared" si="1"/>
        <v>-5143814569.1400003</v>
      </c>
      <c r="E13" s="68">
        <f t="shared" si="1"/>
        <v>-5061996924.1400003</v>
      </c>
      <c r="F13" s="68">
        <f t="shared" si="1"/>
        <v>-4629468615</v>
      </c>
      <c r="G13" s="68">
        <f t="shared" si="1"/>
        <v>81817644.999999702</v>
      </c>
      <c r="J13" s="61"/>
      <c r="K13" s="60"/>
      <c r="L13" s="60"/>
      <c r="M13" s="60"/>
      <c r="N13" s="60"/>
      <c r="O13" s="60"/>
    </row>
    <row r="14" spans="1:15" ht="15.75" x14ac:dyDescent="0.25">
      <c r="A14" s="72"/>
      <c r="B14" s="75" t="s">
        <v>9</v>
      </c>
      <c r="C14" s="70">
        <f t="shared" si="1"/>
        <v>-123155779</v>
      </c>
      <c r="D14" s="70">
        <f t="shared" si="1"/>
        <v>-145186812.28</v>
      </c>
      <c r="E14" s="70">
        <f t="shared" si="1"/>
        <v>-125648801.75</v>
      </c>
      <c r="F14" s="70">
        <f t="shared" si="1"/>
        <v>-138708314.50999999</v>
      </c>
      <c r="G14" s="70">
        <f t="shared" si="1"/>
        <v>19538010.530000005</v>
      </c>
      <c r="J14" s="62"/>
      <c r="K14" s="58"/>
      <c r="L14" s="58"/>
      <c r="M14" s="58"/>
      <c r="N14" s="58"/>
      <c r="O14" s="58"/>
    </row>
    <row r="15" spans="1:15" s="31" customFormat="1" ht="15.75" x14ac:dyDescent="0.25">
      <c r="A15" s="48" t="s">
        <v>24</v>
      </c>
      <c r="B15" s="6"/>
      <c r="C15" s="5">
        <f>C17+C19+C21+C23</f>
        <v>-917907186</v>
      </c>
      <c r="D15" s="5">
        <f t="shared" ref="D15:E15" si="2">D17+D19+D21+D23</f>
        <v>-492258878.07999998</v>
      </c>
      <c r="E15" s="5">
        <f t="shared" si="2"/>
        <v>-473150739.30000001</v>
      </c>
      <c r="F15" s="5">
        <f t="shared" ref="F15" si="3">F17+F19+F21+F23</f>
        <v>-812788140</v>
      </c>
      <c r="G15" s="5">
        <f t="shared" ref="G15" si="4">G17+G19+G21+G23</f>
        <v>19108138.779999983</v>
      </c>
      <c r="H15" s="39"/>
      <c r="I15" s="39"/>
      <c r="J15" s="32"/>
      <c r="K15" s="60"/>
      <c r="L15" s="60"/>
      <c r="M15" s="60"/>
      <c r="N15" s="60"/>
      <c r="O15" s="60"/>
    </row>
    <row r="16" spans="1:15" ht="15.75" x14ac:dyDescent="0.25">
      <c r="A16" s="45"/>
      <c r="B16" s="46" t="s">
        <v>9</v>
      </c>
      <c r="C16" s="4">
        <f>C18+C20+C22+C24</f>
        <v>-11841869</v>
      </c>
      <c r="D16" s="4">
        <f t="shared" ref="D16:E16" si="5">D18+D20+D22+D24</f>
        <v>-7189546.5099999998</v>
      </c>
      <c r="E16" s="4">
        <f t="shared" si="5"/>
        <v>-6810980.25</v>
      </c>
      <c r="F16" s="4">
        <f t="shared" ref="F16" si="6">F18+F20+F22+F24</f>
        <v>-11864380.67</v>
      </c>
      <c r="G16" s="4">
        <f t="shared" ref="G16" si="7">G18+G20+G22+G24</f>
        <v>378566.25999999995</v>
      </c>
      <c r="J16" s="62"/>
      <c r="K16" s="58"/>
      <c r="L16" s="58"/>
      <c r="M16" s="58"/>
      <c r="N16" s="58"/>
      <c r="O16" s="58"/>
    </row>
    <row r="17" spans="1:15" ht="15.75" x14ac:dyDescent="0.25">
      <c r="A17" s="45" t="s">
        <v>69</v>
      </c>
      <c r="B17" s="46"/>
      <c r="C17" s="4">
        <v>-2678087</v>
      </c>
      <c r="D17" s="4">
        <f>C17+1031692+1216159+114167-1986179</f>
        <v>-2302248</v>
      </c>
      <c r="E17" s="4">
        <v>-1233406.1599999999</v>
      </c>
      <c r="F17" s="4">
        <v>-2441074</v>
      </c>
      <c r="G17" s="4">
        <f t="shared" ref="G17:G24" si="8">E17-D17</f>
        <v>1068841.8400000001</v>
      </c>
      <c r="J17" s="61"/>
      <c r="K17" s="58"/>
      <c r="L17" s="58"/>
      <c r="M17" s="58"/>
      <c r="N17" s="58"/>
      <c r="O17" s="58"/>
    </row>
    <row r="18" spans="1:15" ht="15.75" x14ac:dyDescent="0.25">
      <c r="A18" s="45"/>
      <c r="B18" s="46" t="s">
        <v>9</v>
      </c>
      <c r="C18" s="4">
        <v>-2556829</v>
      </c>
      <c r="D18" s="4">
        <f>C18+1031692+1216159-835856.72</f>
        <v>-1144834.72</v>
      </c>
      <c r="E18" s="4">
        <v>-1126536.3400000001</v>
      </c>
      <c r="F18" s="4">
        <v>-2285939.27</v>
      </c>
      <c r="G18" s="4">
        <f t="shared" si="8"/>
        <v>18298.379999999888</v>
      </c>
      <c r="J18" s="62"/>
      <c r="K18" s="58"/>
      <c r="L18" s="58"/>
      <c r="M18" s="58"/>
      <c r="N18" s="58"/>
      <c r="O18" s="58"/>
    </row>
    <row r="19" spans="1:15" ht="15.75" x14ac:dyDescent="0.25">
      <c r="A19" s="45" t="s">
        <v>70</v>
      </c>
      <c r="B19" s="46"/>
      <c r="C19" s="4">
        <v>-890265538</v>
      </c>
      <c r="D19" s="4">
        <f>C19+449002164+230231+19221612-46598810.45</f>
        <v>-468410341.44999999</v>
      </c>
      <c r="E19" s="4">
        <v>-452247103.74000001</v>
      </c>
      <c r="F19" s="4">
        <v>-795360826</v>
      </c>
      <c r="G19" s="4">
        <f t="shared" si="8"/>
        <v>16163237.709999979</v>
      </c>
      <c r="J19" s="61"/>
      <c r="K19" s="58"/>
      <c r="L19" s="58"/>
      <c r="M19" s="58"/>
      <c r="N19" s="58"/>
      <c r="O19" s="58"/>
    </row>
    <row r="20" spans="1:15" ht="15.75" x14ac:dyDescent="0.25">
      <c r="A20" s="45"/>
      <c r="B20" s="46" t="s">
        <v>9</v>
      </c>
      <c r="C20" s="4">
        <v>-540613</v>
      </c>
      <c r="D20" s="4">
        <f>C20-366+230231-60504.24</f>
        <v>-371252.24</v>
      </c>
      <c r="E20" s="4">
        <v>-322420.96000000002</v>
      </c>
      <c r="F20" s="4">
        <v>-2076037.91</v>
      </c>
      <c r="G20" s="4">
        <f t="shared" si="8"/>
        <v>48831.27999999997</v>
      </c>
      <c r="J20" s="62"/>
      <c r="K20" s="58"/>
      <c r="L20" s="58"/>
      <c r="M20" s="58"/>
      <c r="N20" s="58"/>
      <c r="O20" s="58"/>
    </row>
    <row r="21" spans="1:15" ht="15.75" x14ac:dyDescent="0.25">
      <c r="A21" s="45" t="s">
        <v>94</v>
      </c>
      <c r="B21" s="46"/>
      <c r="C21" s="4">
        <v>-20763822</v>
      </c>
      <c r="D21" s="4">
        <f>C21+2755507+464340+814272-2123100.12</f>
        <v>-18852803.120000001</v>
      </c>
      <c r="E21" s="4">
        <v>-17240659.829999998</v>
      </c>
      <c r="F21" s="4">
        <v>-11006500</v>
      </c>
      <c r="G21" s="4">
        <f t="shared" si="8"/>
        <v>1612143.2900000028</v>
      </c>
      <c r="J21" s="61"/>
      <c r="K21" s="58"/>
      <c r="L21" s="58"/>
      <c r="M21" s="58"/>
      <c r="N21" s="58"/>
      <c r="O21" s="58"/>
    </row>
    <row r="22" spans="1:15" ht="15.75" x14ac:dyDescent="0.25">
      <c r="A22" s="45"/>
      <c r="B22" s="46" t="s">
        <v>9</v>
      </c>
      <c r="C22" s="4">
        <v>-5212644</v>
      </c>
      <c r="D22" s="4">
        <f>C22+1868458+464340-869432.46</f>
        <v>-3749278.46</v>
      </c>
      <c r="E22" s="4">
        <v>-3609069.92</v>
      </c>
      <c r="F22" s="4">
        <v>-4279219.9800000004</v>
      </c>
      <c r="G22" s="4">
        <f t="shared" si="8"/>
        <v>140208.54000000004</v>
      </c>
      <c r="J22" s="62"/>
      <c r="K22" s="58"/>
      <c r="L22" s="58"/>
      <c r="M22" s="58"/>
      <c r="N22" s="58"/>
      <c r="O22" s="58"/>
    </row>
    <row r="23" spans="1:15" ht="15.75" x14ac:dyDescent="0.25">
      <c r="A23" s="45" t="s">
        <v>71</v>
      </c>
      <c r="B23" s="46"/>
      <c r="C23" s="4">
        <v>-4199739</v>
      </c>
      <c r="D23" s="4">
        <f>C23+1857633+168135+17033+379486-916033.51</f>
        <v>-2693485.51</v>
      </c>
      <c r="E23" s="4">
        <v>-2429569.5699999998</v>
      </c>
      <c r="F23" s="4">
        <v>-3979740</v>
      </c>
      <c r="G23" s="4">
        <f t="shared" si="8"/>
        <v>263915.93999999994</v>
      </c>
      <c r="H23" s="51"/>
      <c r="J23" s="61"/>
      <c r="K23" s="58"/>
      <c r="L23" s="58"/>
      <c r="M23" s="58"/>
      <c r="N23" s="58"/>
      <c r="O23" s="58"/>
    </row>
    <row r="24" spans="1:15" ht="15.75" x14ac:dyDescent="0.25">
      <c r="A24" s="45"/>
      <c r="B24" s="46" t="s">
        <v>9</v>
      </c>
      <c r="C24" s="4">
        <v>-3531783</v>
      </c>
      <c r="D24" s="4">
        <f>C24+1650156+168135+17033-227722.09</f>
        <v>-1924181.09</v>
      </c>
      <c r="E24" s="4">
        <v>-1752953.03</v>
      </c>
      <c r="F24" s="4">
        <v>-3223183.51</v>
      </c>
      <c r="G24" s="4">
        <f t="shared" si="8"/>
        <v>171228.06000000006</v>
      </c>
      <c r="H24" s="51"/>
      <c r="J24" s="62"/>
      <c r="K24" s="58"/>
      <c r="L24" s="58"/>
      <c r="M24" s="58"/>
      <c r="N24" s="58"/>
      <c r="O24" s="58"/>
    </row>
    <row r="25" spans="1:15" s="31" customFormat="1" ht="15.75" x14ac:dyDescent="0.25">
      <c r="A25" s="72" t="s">
        <v>95</v>
      </c>
      <c r="B25" s="71"/>
      <c r="C25" s="68">
        <f>C27+C29</f>
        <v>-3442224194</v>
      </c>
      <c r="D25" s="68">
        <f t="shared" ref="D25:G25" si="9">D27+D29</f>
        <v>-3448224234.54</v>
      </c>
      <c r="E25" s="68">
        <f t="shared" si="9"/>
        <v>-3426233428.0300002</v>
      </c>
      <c r="F25" s="68">
        <f t="shared" si="9"/>
        <v>-2846123755</v>
      </c>
      <c r="G25" s="68">
        <f t="shared" si="9"/>
        <v>21990806.509999752</v>
      </c>
      <c r="H25" s="39"/>
      <c r="I25" s="39"/>
      <c r="J25" s="59"/>
      <c r="K25" s="60"/>
      <c r="L25" s="60"/>
      <c r="M25" s="60"/>
      <c r="N25" s="60"/>
      <c r="O25" s="60"/>
    </row>
    <row r="26" spans="1:15" ht="15.75" x14ac:dyDescent="0.25">
      <c r="A26" s="77"/>
      <c r="B26" s="75" t="s">
        <v>9</v>
      </c>
      <c r="C26" s="70">
        <f>C28+C30</f>
        <v>-5256133</v>
      </c>
      <c r="D26" s="70">
        <f t="shared" ref="D26:G26" si="10">D28+D30</f>
        <v>-11034232.98</v>
      </c>
      <c r="E26" s="70">
        <f t="shared" si="10"/>
        <v>-10070814.710000001</v>
      </c>
      <c r="F26" s="70">
        <f t="shared" si="10"/>
        <v>-24547304.719999999</v>
      </c>
      <c r="G26" s="70">
        <f t="shared" si="10"/>
        <v>963418.27000000048</v>
      </c>
      <c r="J26" s="62"/>
      <c r="K26" s="58"/>
      <c r="L26" s="58"/>
      <c r="M26" s="58"/>
      <c r="N26" s="58"/>
      <c r="O26" s="58"/>
    </row>
    <row r="27" spans="1:15" ht="15.75" x14ac:dyDescent="0.25">
      <c r="A27" s="45" t="s">
        <v>96</v>
      </c>
      <c r="B27" s="46"/>
      <c r="C27" s="4">
        <v>-627993</v>
      </c>
      <c r="D27" s="4">
        <f>C27+214343-3634769</f>
        <v>-4048419</v>
      </c>
      <c r="E27" s="4">
        <v>-3934700</v>
      </c>
      <c r="F27" s="4">
        <v>-617918</v>
      </c>
      <c r="G27" s="4">
        <f t="shared" ref="G27:G30" si="11">E27-D27</f>
        <v>113719</v>
      </c>
      <c r="J27" s="61"/>
      <c r="K27" s="58"/>
      <c r="L27" s="58"/>
      <c r="M27" s="58"/>
      <c r="N27" s="58"/>
      <c r="O27" s="58"/>
    </row>
    <row r="28" spans="1:15" ht="15.75" x14ac:dyDescent="0.25">
      <c r="A28" s="45"/>
      <c r="B28" s="46" t="s">
        <v>9</v>
      </c>
      <c r="C28" s="4">
        <v>-413650</v>
      </c>
      <c r="D28" s="4">
        <f>C28-3634769</f>
        <v>-4048419</v>
      </c>
      <c r="E28" s="4">
        <v>-3934700</v>
      </c>
      <c r="F28" s="4">
        <v>-584217.81999999995</v>
      </c>
      <c r="G28" s="4">
        <f t="shared" si="11"/>
        <v>113719</v>
      </c>
      <c r="J28" s="62"/>
      <c r="K28" s="58"/>
      <c r="L28" s="58"/>
      <c r="M28" s="58"/>
      <c r="N28" s="58"/>
      <c r="O28" s="58"/>
    </row>
    <row r="29" spans="1:15" ht="15.75" x14ac:dyDescent="0.25">
      <c r="A29" s="45" t="s">
        <v>97</v>
      </c>
      <c r="B29" s="46"/>
      <c r="C29" s="4">
        <v>-3441596201</v>
      </c>
      <c r="D29" s="4">
        <f>C29+79780-1331740+317724-1645371.54-7</f>
        <v>-3444175815.54</v>
      </c>
      <c r="E29" s="4">
        <v>-3422298728.0300002</v>
      </c>
      <c r="F29" s="4">
        <f>-2841553287-3952550</f>
        <v>-2845505837</v>
      </c>
      <c r="G29" s="4">
        <f t="shared" si="11"/>
        <v>21877087.509999752</v>
      </c>
      <c r="J29" s="61"/>
      <c r="K29" s="58"/>
      <c r="L29" s="58"/>
      <c r="M29" s="58"/>
      <c r="N29" s="58"/>
      <c r="O29" s="58"/>
    </row>
    <row r="30" spans="1:15" ht="15.75" x14ac:dyDescent="0.25">
      <c r="A30" s="45"/>
      <c r="B30" s="46" t="s">
        <v>9</v>
      </c>
      <c r="C30" s="4">
        <v>-4842483</v>
      </c>
      <c r="D30" s="4">
        <f>C30+79780-1331740-891363.98-7</f>
        <v>-6985813.9800000004</v>
      </c>
      <c r="E30" s="4">
        <v>-6136114.71</v>
      </c>
      <c r="F30" s="4">
        <f>-20325524.06-3637562.84</f>
        <v>-23963086.899999999</v>
      </c>
      <c r="G30" s="4">
        <f t="shared" si="11"/>
        <v>849699.27000000048</v>
      </c>
      <c r="J30" s="62"/>
      <c r="K30" s="58"/>
      <c r="L30" s="58"/>
      <c r="M30" s="58"/>
      <c r="N30" s="58"/>
      <c r="O30" s="58"/>
    </row>
    <row r="31" spans="1:15" ht="15.75" x14ac:dyDescent="0.25">
      <c r="A31" s="74" t="s">
        <v>100</v>
      </c>
      <c r="B31" s="74"/>
      <c r="C31" s="68">
        <f t="shared" ref="C31:G32" si="12">C33+C35</f>
        <v>-159997290</v>
      </c>
      <c r="D31" s="68">
        <f t="shared" si="12"/>
        <v>-167741601.45000002</v>
      </c>
      <c r="E31" s="68">
        <f t="shared" si="12"/>
        <v>-162906590.66999999</v>
      </c>
      <c r="F31" s="68">
        <f t="shared" si="12"/>
        <v>-145588726</v>
      </c>
      <c r="G31" s="68">
        <f t="shared" si="12"/>
        <v>4835010.780000018</v>
      </c>
      <c r="J31" s="60"/>
      <c r="K31" s="60"/>
      <c r="L31" s="60"/>
      <c r="M31" s="60"/>
      <c r="N31" s="60"/>
      <c r="O31" s="60"/>
    </row>
    <row r="32" spans="1:15" ht="15.75" x14ac:dyDescent="0.25">
      <c r="A32" s="69"/>
      <c r="B32" s="75" t="s">
        <v>9</v>
      </c>
      <c r="C32" s="70">
        <f t="shared" si="12"/>
        <v>-66456783</v>
      </c>
      <c r="D32" s="70">
        <f t="shared" si="12"/>
        <v>-83963988.629999995</v>
      </c>
      <c r="E32" s="70">
        <f t="shared" si="12"/>
        <v>-72213960.319999993</v>
      </c>
      <c r="F32" s="70">
        <f t="shared" si="12"/>
        <v>-59845119.32</v>
      </c>
      <c r="G32" s="70">
        <f t="shared" si="12"/>
        <v>11750028.309999999</v>
      </c>
      <c r="H32" s="38"/>
      <c r="I32" s="38"/>
      <c r="J32" s="62"/>
      <c r="K32" s="58"/>
      <c r="L32" s="58"/>
      <c r="M32" s="58"/>
      <c r="N32" s="58"/>
      <c r="O32" s="58"/>
    </row>
    <row r="33" spans="1:15" ht="15.75" x14ac:dyDescent="0.25">
      <c r="A33" s="47" t="s">
        <v>98</v>
      </c>
      <c r="B33" s="46"/>
      <c r="C33" s="4">
        <v>-14741457</v>
      </c>
      <c r="D33" s="4">
        <f>C33+315479+253612+9882541-5299456.56</f>
        <v>-9589281.5599999987</v>
      </c>
      <c r="E33" s="4">
        <v>-6918693.0099999998</v>
      </c>
      <c r="F33" s="4">
        <v>-6906317</v>
      </c>
      <c r="G33" s="4">
        <f t="shared" ref="G33:G36" si="13">E33-D33</f>
        <v>2670588.5499999989</v>
      </c>
      <c r="H33" s="38"/>
      <c r="J33" s="61"/>
      <c r="K33" s="58"/>
      <c r="L33" s="58"/>
      <c r="M33" s="58"/>
      <c r="N33" s="58"/>
      <c r="O33" s="58"/>
    </row>
    <row r="34" spans="1:15" ht="15.75" x14ac:dyDescent="0.25">
      <c r="A34" s="47"/>
      <c r="B34" s="46" t="s">
        <v>9</v>
      </c>
      <c r="C34" s="4">
        <v>-4831984</v>
      </c>
      <c r="D34" s="4">
        <f>C34+311714+253612-2606615</f>
        <v>-6873273</v>
      </c>
      <c r="E34" s="4">
        <v>-4383500.38</v>
      </c>
      <c r="F34" s="4">
        <v>-3376721.86</v>
      </c>
      <c r="G34" s="4">
        <f t="shared" si="13"/>
        <v>2489772.62</v>
      </c>
      <c r="H34" s="38"/>
      <c r="I34" s="38"/>
      <c r="J34" s="62"/>
      <c r="K34" s="58"/>
      <c r="L34" s="58"/>
      <c r="M34" s="58"/>
      <c r="N34" s="58"/>
      <c r="O34" s="58"/>
    </row>
    <row r="35" spans="1:15" ht="15.75" x14ac:dyDescent="0.25">
      <c r="A35" s="47" t="s">
        <v>99</v>
      </c>
      <c r="B35" s="46"/>
      <c r="C35" s="4">
        <v>-145255833</v>
      </c>
      <c r="D35" s="4">
        <f>C35-78381-935246+22793549-34796763.55+120354.66</f>
        <v>-158152319.89000002</v>
      </c>
      <c r="E35" s="4">
        <v>-155987897.66</v>
      </c>
      <c r="F35" s="4">
        <v>-138682409</v>
      </c>
      <c r="G35" s="4">
        <f t="shared" si="13"/>
        <v>2164422.2300000191</v>
      </c>
      <c r="H35" s="38"/>
      <c r="J35" s="61"/>
      <c r="K35" s="58"/>
      <c r="L35" s="58"/>
      <c r="M35" s="58"/>
      <c r="N35" s="58"/>
      <c r="O35" s="58"/>
    </row>
    <row r="36" spans="1:15" ht="15.75" x14ac:dyDescent="0.25">
      <c r="A36" s="47"/>
      <c r="B36" s="46" t="s">
        <v>9</v>
      </c>
      <c r="C36" s="4">
        <v>-61624799</v>
      </c>
      <c r="D36" s="4">
        <f>C36-85912-935246-14444758.63</f>
        <v>-77090715.629999995</v>
      </c>
      <c r="E36" s="4">
        <v>-67830459.939999998</v>
      </c>
      <c r="F36" s="4">
        <v>-56468397.460000001</v>
      </c>
      <c r="G36" s="4">
        <f t="shared" si="13"/>
        <v>9260255.6899999976</v>
      </c>
      <c r="H36" s="38"/>
      <c r="I36" s="38"/>
      <c r="J36" s="62"/>
      <c r="K36" s="58"/>
      <c r="L36" s="58"/>
      <c r="M36" s="58"/>
      <c r="N36" s="58"/>
      <c r="O36" s="58"/>
    </row>
    <row r="37" spans="1:15" ht="15.75" x14ac:dyDescent="0.25">
      <c r="A37" s="72" t="s">
        <v>22</v>
      </c>
      <c r="B37" s="67"/>
      <c r="C37" s="68">
        <f t="shared" ref="C37:G38" si="14">C39+C41+C43+C45+C47</f>
        <v>-1029036884</v>
      </c>
      <c r="D37" s="68">
        <f t="shared" si="14"/>
        <v>-1033863438.6799999</v>
      </c>
      <c r="E37" s="68">
        <f t="shared" si="14"/>
        <v>-998398711.81000006</v>
      </c>
      <c r="F37" s="68">
        <f t="shared" si="14"/>
        <v>-823299791</v>
      </c>
      <c r="G37" s="68">
        <f t="shared" si="14"/>
        <v>35464726.869999945</v>
      </c>
      <c r="J37" s="59"/>
      <c r="K37" s="60"/>
      <c r="L37" s="60"/>
      <c r="M37" s="60"/>
      <c r="N37" s="60"/>
      <c r="O37" s="60"/>
    </row>
    <row r="38" spans="1:15" ht="15.75" x14ac:dyDescent="0.25">
      <c r="A38" s="77"/>
      <c r="B38" s="75" t="s">
        <v>9</v>
      </c>
      <c r="C38" s="70">
        <f t="shared" si="14"/>
        <v>-37503206</v>
      </c>
      <c r="D38" s="70">
        <f t="shared" si="14"/>
        <v>-41649355.520000003</v>
      </c>
      <c r="E38" s="70">
        <f t="shared" si="14"/>
        <v>-35423735.590000004</v>
      </c>
      <c r="F38" s="70">
        <f t="shared" si="14"/>
        <v>-41316885.479999989</v>
      </c>
      <c r="G38" s="70">
        <f t="shared" si="14"/>
        <v>6225619.9300000025</v>
      </c>
      <c r="H38" s="38"/>
      <c r="I38" s="38"/>
      <c r="J38" s="62"/>
      <c r="K38" s="58"/>
      <c r="L38" s="58"/>
      <c r="M38" s="58"/>
      <c r="N38" s="58"/>
      <c r="O38" s="58"/>
    </row>
    <row r="39" spans="1:15" ht="15.75" x14ac:dyDescent="0.25">
      <c r="A39" s="45" t="s">
        <v>75</v>
      </c>
      <c r="B39" s="46"/>
      <c r="C39" s="4">
        <v>-984770448</v>
      </c>
      <c r="D39" s="4">
        <f>C39-9282-957310+14971-882984.8</f>
        <v>-986605053.79999995</v>
      </c>
      <c r="E39" s="4">
        <v>-960503247.24000001</v>
      </c>
      <c r="F39" s="4">
        <f>-786000674-3478673</f>
        <v>-789479347</v>
      </c>
      <c r="G39" s="4">
        <f t="shared" ref="G39:G42" si="15">E39-D39</f>
        <v>26101806.559999943</v>
      </c>
      <c r="J39" s="61"/>
      <c r="K39" s="58"/>
      <c r="L39" s="58"/>
      <c r="M39" s="58"/>
      <c r="N39" s="58"/>
      <c r="O39" s="58"/>
    </row>
    <row r="40" spans="1:15" ht="15.75" x14ac:dyDescent="0.25">
      <c r="A40" s="45"/>
      <c r="B40" s="46" t="s">
        <v>9</v>
      </c>
      <c r="C40" s="4">
        <v>-4789112</v>
      </c>
      <c r="D40" s="4">
        <f>C40-9282-957310-773287.47</f>
        <v>-6528991.4699999997</v>
      </c>
      <c r="E40" s="4">
        <v>-6037930.7800000003</v>
      </c>
      <c r="F40" s="4">
        <f>-18290817-2789445.59</f>
        <v>-21080262.59</v>
      </c>
      <c r="G40" s="4">
        <f t="shared" si="15"/>
        <v>491060.68999999948</v>
      </c>
      <c r="H40" s="38"/>
      <c r="J40" s="62"/>
      <c r="K40" s="58"/>
      <c r="L40" s="58"/>
      <c r="M40" s="58"/>
      <c r="N40" s="58"/>
      <c r="O40" s="58"/>
    </row>
    <row r="41" spans="1:15" ht="15.75" x14ac:dyDescent="0.25">
      <c r="A41" s="45" t="s">
        <v>122</v>
      </c>
      <c r="B41" s="46"/>
      <c r="C41" s="4">
        <v>-29657483</v>
      </c>
      <c r="D41" s="4">
        <f>C41+46046+572365+5106916-4938698.95+277064.79</f>
        <v>-28593790.16</v>
      </c>
      <c r="E41" s="4">
        <v>-25018438.260000002</v>
      </c>
      <c r="F41" s="4">
        <f>-1598532-18744285-2459455</f>
        <v>-22802272</v>
      </c>
      <c r="G41" s="4">
        <f t="shared" si="15"/>
        <v>3575351.8999999985</v>
      </c>
      <c r="H41" s="38"/>
      <c r="J41" s="61"/>
      <c r="K41" s="58"/>
      <c r="L41" s="58"/>
      <c r="M41" s="58"/>
      <c r="N41" s="58"/>
      <c r="O41" s="58"/>
    </row>
    <row r="42" spans="1:15" ht="15.75" x14ac:dyDescent="0.25">
      <c r="A42" s="45"/>
      <c r="B42" s="46" t="s">
        <v>9</v>
      </c>
      <c r="C42" s="4">
        <v>-22276397</v>
      </c>
      <c r="D42" s="4">
        <f>C42+46046+572365-909396.03</f>
        <v>-22567382.030000001</v>
      </c>
      <c r="E42" s="4">
        <v>-19865604.899999999</v>
      </c>
      <c r="F42" s="4">
        <f>-1434183.5-9602079.26-573830.02</f>
        <v>-11610092.779999999</v>
      </c>
      <c r="G42" s="4">
        <f t="shared" si="15"/>
        <v>2701777.1300000027</v>
      </c>
      <c r="H42" s="38"/>
      <c r="I42" s="38"/>
      <c r="J42" s="62"/>
      <c r="K42" s="58"/>
      <c r="L42" s="58"/>
      <c r="M42" s="58"/>
      <c r="N42" s="58"/>
      <c r="O42" s="58"/>
    </row>
    <row r="43" spans="1:15" ht="15.75" x14ac:dyDescent="0.25">
      <c r="A43" s="45" t="s">
        <v>101</v>
      </c>
      <c r="B43" s="46"/>
      <c r="C43" s="4">
        <v>-2192449</v>
      </c>
      <c r="D43" s="4">
        <f>C43-43618-65680+76000-2832414.24</f>
        <v>-5058161.24</v>
      </c>
      <c r="E43" s="4">
        <v>-2840289.19</v>
      </c>
      <c r="F43" s="4">
        <v>-1345115</v>
      </c>
      <c r="G43" s="4">
        <f t="shared" ref="G43:G48" si="16">E43-D43</f>
        <v>2217872.0500000003</v>
      </c>
      <c r="J43" s="61"/>
      <c r="K43" s="58"/>
      <c r="L43" s="58"/>
      <c r="M43" s="58"/>
      <c r="N43" s="58"/>
      <c r="O43" s="58"/>
    </row>
    <row r="44" spans="1:15" ht="15.75" x14ac:dyDescent="0.25">
      <c r="A44" s="45"/>
      <c r="B44" s="46" t="s">
        <v>9</v>
      </c>
      <c r="C44" s="4">
        <v>-1934505</v>
      </c>
      <c r="D44" s="4">
        <f>C44-43618-65680-310298.61</f>
        <v>-2354101.61</v>
      </c>
      <c r="E44" s="4">
        <v>-1920987.43</v>
      </c>
      <c r="F44" s="4">
        <v>-1134139.6599999999</v>
      </c>
      <c r="G44" s="4">
        <f t="shared" si="16"/>
        <v>433114.17999999993</v>
      </c>
      <c r="H44" s="38"/>
      <c r="I44" s="38"/>
      <c r="J44" s="62"/>
      <c r="K44" s="58"/>
      <c r="L44" s="58"/>
      <c r="M44" s="58"/>
      <c r="N44" s="58"/>
      <c r="O44" s="58"/>
    </row>
    <row r="45" spans="1:15" ht="15.75" x14ac:dyDescent="0.25">
      <c r="A45" s="45" t="s">
        <v>102</v>
      </c>
      <c r="B45" s="46"/>
      <c r="C45" s="4">
        <v>-3335608</v>
      </c>
      <c r="D45" s="4">
        <f>C45+204523-671944+873995-1161881.25</f>
        <v>-4090915.25</v>
      </c>
      <c r="E45" s="4">
        <v>-2334172.96</v>
      </c>
      <c r="F45" s="4">
        <f>-2982025-491396</f>
        <v>-3473421</v>
      </c>
      <c r="G45" s="4">
        <f t="shared" si="16"/>
        <v>1756742.29</v>
      </c>
      <c r="J45" s="61"/>
      <c r="K45" s="58"/>
      <c r="L45" s="58"/>
      <c r="M45" s="58"/>
      <c r="N45" s="58"/>
      <c r="O45" s="58"/>
    </row>
    <row r="46" spans="1:15" ht="15.75" x14ac:dyDescent="0.25">
      <c r="A46" s="45"/>
      <c r="B46" s="46" t="s">
        <v>9</v>
      </c>
      <c r="C46" s="4">
        <v>-2450550</v>
      </c>
      <c r="D46" s="4">
        <f>C46+196992-671944-404610.59</f>
        <v>-3330112.59</v>
      </c>
      <c r="E46" s="4">
        <v>-1803739.8</v>
      </c>
      <c r="F46" s="4">
        <f>-2598758.6-227743.48</f>
        <v>-2826502.08</v>
      </c>
      <c r="G46" s="4">
        <f t="shared" si="16"/>
        <v>1526372.7899999998</v>
      </c>
      <c r="H46" s="38"/>
      <c r="J46" s="62"/>
      <c r="K46" s="58"/>
      <c r="L46" s="58"/>
      <c r="M46" s="58"/>
      <c r="N46" s="58"/>
      <c r="O46" s="58"/>
    </row>
    <row r="47" spans="1:15" ht="15.75" x14ac:dyDescent="0.25">
      <c r="A47" s="45" t="s">
        <v>72</v>
      </c>
      <c r="B47" s="46"/>
      <c r="C47" s="4">
        <v>-9080896</v>
      </c>
      <c r="D47" s="4">
        <f>C47-6189+466921+1193007-2088361.23</f>
        <v>-9515518.2300000004</v>
      </c>
      <c r="E47" s="4">
        <v>-7702564.1600000001</v>
      </c>
      <c r="F47" s="4">
        <v>-6199636</v>
      </c>
      <c r="G47" s="4">
        <f t="shared" si="16"/>
        <v>1812954.0700000003</v>
      </c>
      <c r="H47" s="38"/>
      <c r="J47" s="61"/>
      <c r="K47" s="58"/>
      <c r="L47" s="58"/>
      <c r="M47" s="58"/>
      <c r="N47" s="58"/>
      <c r="O47" s="58"/>
    </row>
    <row r="48" spans="1:15" ht="15.75" x14ac:dyDescent="0.25">
      <c r="A48" s="45"/>
      <c r="B48" s="46" t="s">
        <v>9</v>
      </c>
      <c r="C48" s="4">
        <v>-6052642</v>
      </c>
      <c r="D48" s="4">
        <f>C48-6189+466921-1276857.82</f>
        <v>-6868767.8200000003</v>
      </c>
      <c r="E48" s="4">
        <v>-5795472.6799999997</v>
      </c>
      <c r="F48" s="4">
        <v>-4665888.37</v>
      </c>
      <c r="G48" s="4">
        <f t="shared" si="16"/>
        <v>1073295.1400000006</v>
      </c>
      <c r="H48" s="38"/>
      <c r="I48" s="38"/>
      <c r="J48" s="62"/>
      <c r="K48" s="58"/>
      <c r="L48" s="58"/>
      <c r="M48" s="58"/>
      <c r="N48" s="58"/>
      <c r="O48" s="58"/>
    </row>
    <row r="49" spans="1:15" ht="15.75" x14ac:dyDescent="0.25">
      <c r="A49" s="76" t="s">
        <v>104</v>
      </c>
      <c r="B49" s="72"/>
      <c r="C49" s="68">
        <f>C51+C53+C55</f>
        <v>-2616517</v>
      </c>
      <c r="D49" s="68">
        <f t="shared" ref="D49:G49" si="17">D51+D53+D55</f>
        <v>-1726416.3900000001</v>
      </c>
      <c r="E49" s="68">
        <f t="shared" si="17"/>
        <v>-1307454.33</v>
      </c>
      <c r="F49" s="68">
        <f t="shared" si="17"/>
        <v>-1668203</v>
      </c>
      <c r="G49" s="68">
        <f t="shared" si="17"/>
        <v>418962.06</v>
      </c>
      <c r="J49" s="40"/>
      <c r="K49" s="60"/>
      <c r="L49" s="60"/>
      <c r="M49" s="60"/>
      <c r="N49" s="60"/>
      <c r="O49" s="60"/>
    </row>
    <row r="50" spans="1:15" ht="15.75" x14ac:dyDescent="0.25">
      <c r="A50" s="45"/>
      <c r="B50" s="46" t="s">
        <v>9</v>
      </c>
      <c r="C50" s="4">
        <f>C52+C54+C56</f>
        <v>-2097788</v>
      </c>
      <c r="D50" s="4">
        <f t="shared" ref="D50:G50" si="18">D52+D54+D56</f>
        <v>-1349688.6400000001</v>
      </c>
      <c r="E50" s="4">
        <f t="shared" si="18"/>
        <v>-1129310.8799999999</v>
      </c>
      <c r="F50" s="4">
        <f t="shared" si="18"/>
        <v>-1134624.3199999998</v>
      </c>
      <c r="G50" s="4">
        <f t="shared" si="18"/>
        <v>220377.76000000007</v>
      </c>
      <c r="H50" s="38"/>
      <c r="I50" s="38"/>
      <c r="J50" s="62"/>
      <c r="K50" s="58"/>
      <c r="L50" s="58"/>
      <c r="M50" s="58"/>
      <c r="N50" s="58"/>
      <c r="O50" s="58"/>
    </row>
    <row r="51" spans="1:15" ht="15.75" x14ac:dyDescent="0.25">
      <c r="A51" s="49" t="s">
        <v>103</v>
      </c>
      <c r="B51" s="46"/>
      <c r="C51" s="4">
        <v>-706343</v>
      </c>
      <c r="D51" s="4">
        <f>C51+360537+130176-94462.81</f>
        <v>-310092.81</v>
      </c>
      <c r="E51" s="4">
        <v>-303171.38</v>
      </c>
      <c r="F51" s="4">
        <v>-323501</v>
      </c>
      <c r="G51" s="4">
        <f t="shared" ref="G51:G56" si="19">E51-D51</f>
        <v>6921.429999999993</v>
      </c>
      <c r="H51" s="51"/>
      <c r="I51" s="51"/>
      <c r="J51" s="61"/>
      <c r="K51" s="58"/>
      <c r="L51" s="58"/>
      <c r="M51" s="58"/>
      <c r="N51" s="58"/>
      <c r="O51" s="58"/>
    </row>
    <row r="52" spans="1:15" ht="15.75" x14ac:dyDescent="0.25">
      <c r="A52" s="47"/>
      <c r="B52" s="46" t="s">
        <v>9</v>
      </c>
      <c r="C52" s="4">
        <v>-705755</v>
      </c>
      <c r="D52" s="4">
        <f>C52+360537+130176-80797.15</f>
        <v>-295839.15000000002</v>
      </c>
      <c r="E52" s="4">
        <v>-294774.75</v>
      </c>
      <c r="F52" s="4">
        <v>-310189.46999999997</v>
      </c>
      <c r="G52" s="4">
        <f t="shared" si="19"/>
        <v>1064.4000000000233</v>
      </c>
      <c r="H52" s="50"/>
      <c r="I52" s="50"/>
      <c r="J52" s="62"/>
      <c r="K52" s="58"/>
      <c r="L52" s="58"/>
      <c r="M52" s="58"/>
      <c r="N52" s="58"/>
      <c r="O52" s="58"/>
    </row>
    <row r="53" spans="1:15" ht="15.75" x14ac:dyDescent="0.25">
      <c r="A53" s="45" t="s">
        <v>73</v>
      </c>
      <c r="B53" s="46"/>
      <c r="C53" s="4">
        <v>-1286218</v>
      </c>
      <c r="D53" s="4">
        <f>C53+664840+202978+235337-460499.19</f>
        <v>-643562.18999999994</v>
      </c>
      <c r="E53" s="4">
        <v>-442948.61</v>
      </c>
      <c r="F53" s="4">
        <v>-587519</v>
      </c>
      <c r="G53" s="4">
        <f t="shared" si="19"/>
        <v>200613.57999999996</v>
      </c>
      <c r="J53" s="61"/>
      <c r="K53" s="58"/>
      <c r="L53" s="58"/>
      <c r="M53" s="58"/>
      <c r="N53" s="58"/>
      <c r="O53" s="58"/>
    </row>
    <row r="54" spans="1:15" ht="15.75" x14ac:dyDescent="0.25">
      <c r="A54" s="45"/>
      <c r="B54" s="46" t="s">
        <v>9</v>
      </c>
      <c r="C54" s="4">
        <v>-786539</v>
      </c>
      <c r="D54" s="4">
        <f>C54+401910+202978-122427.46</f>
        <v>-304078.46000000002</v>
      </c>
      <c r="E54" s="4">
        <v>-302774.14</v>
      </c>
      <c r="F54" s="4">
        <v>-299337.65000000002</v>
      </c>
      <c r="G54" s="4">
        <f t="shared" si="19"/>
        <v>1304.320000000007</v>
      </c>
      <c r="H54" s="38"/>
      <c r="I54" s="38"/>
      <c r="J54" s="62"/>
      <c r="K54" s="58"/>
      <c r="L54" s="58"/>
      <c r="M54" s="58"/>
      <c r="N54" s="58"/>
      <c r="O54" s="58"/>
    </row>
    <row r="55" spans="1:15" ht="15.75" x14ac:dyDescent="0.25">
      <c r="A55" s="45" t="s">
        <v>74</v>
      </c>
      <c r="B55" s="46"/>
      <c r="C55" s="4">
        <v>-623956</v>
      </c>
      <c r="D55" s="4">
        <f>C55-764+25503-173544.39</f>
        <v>-772761.39</v>
      </c>
      <c r="E55" s="4">
        <v>-561334.34</v>
      </c>
      <c r="F55" s="4">
        <v>-757183</v>
      </c>
      <c r="G55" s="4">
        <f t="shared" si="19"/>
        <v>211427.05000000005</v>
      </c>
      <c r="J55" s="61"/>
      <c r="K55" s="58"/>
      <c r="L55" s="58"/>
      <c r="M55" s="58"/>
      <c r="N55" s="58"/>
      <c r="O55" s="58"/>
    </row>
    <row r="56" spans="1:15" ht="15.75" x14ac:dyDescent="0.25">
      <c r="A56" s="45"/>
      <c r="B56" s="46" t="s">
        <v>9</v>
      </c>
      <c r="C56" s="4">
        <v>-605494</v>
      </c>
      <c r="D56" s="4">
        <f>C56-764+25503-169016.03</f>
        <v>-749771.03</v>
      </c>
      <c r="E56" s="4">
        <v>-531761.99</v>
      </c>
      <c r="F56" s="4">
        <v>-525097.19999999995</v>
      </c>
      <c r="G56" s="4">
        <f t="shared" si="19"/>
        <v>218009.04000000004</v>
      </c>
      <c r="J56" s="62"/>
      <c r="K56" s="58"/>
      <c r="L56" s="58"/>
      <c r="M56" s="58"/>
      <c r="N56" s="58"/>
      <c r="O56" s="58"/>
    </row>
    <row r="57" spans="1:15" ht="15.75" x14ac:dyDescent="0.25">
      <c r="A57" s="83" t="s">
        <v>25</v>
      </c>
      <c r="B57" s="84"/>
      <c r="C57" s="79">
        <f t="shared" ref="C57:G58" si="20">C59+C69+C81</f>
        <v>-2364294069</v>
      </c>
      <c r="D57" s="79">
        <f t="shared" si="20"/>
        <v>-2437357472.6300001</v>
      </c>
      <c r="E57" s="79">
        <f t="shared" si="20"/>
        <v>-2396425907.6900005</v>
      </c>
      <c r="F57" s="79">
        <f t="shared" si="20"/>
        <v>-2209233059</v>
      </c>
      <c r="G57" s="79">
        <f t="shared" si="20"/>
        <v>40931564.939999849</v>
      </c>
      <c r="J57" s="59"/>
      <c r="K57" s="60"/>
      <c r="L57" s="60"/>
      <c r="M57" s="60"/>
      <c r="N57" s="60"/>
      <c r="O57" s="60"/>
    </row>
    <row r="58" spans="1:15" ht="15.75" x14ac:dyDescent="0.25">
      <c r="A58" s="83"/>
      <c r="B58" s="81" t="s">
        <v>9</v>
      </c>
      <c r="C58" s="82">
        <f t="shared" si="20"/>
        <v>-199611397</v>
      </c>
      <c r="D58" s="82">
        <f t="shared" si="20"/>
        <v>-263356500.90999997</v>
      </c>
      <c r="E58" s="82">
        <f t="shared" si="20"/>
        <v>-238822493.14000005</v>
      </c>
      <c r="F58" s="82">
        <f t="shared" si="20"/>
        <v>-271482644.09000003</v>
      </c>
      <c r="G58" s="82">
        <f t="shared" si="20"/>
        <v>24534007.769999988</v>
      </c>
      <c r="J58" s="62"/>
      <c r="K58" s="58"/>
      <c r="L58" s="58"/>
      <c r="M58" s="58"/>
      <c r="N58" s="58"/>
      <c r="O58" s="58"/>
    </row>
    <row r="59" spans="1:15" ht="15.75" x14ac:dyDescent="0.25">
      <c r="A59" s="74" t="s">
        <v>26</v>
      </c>
      <c r="B59" s="72"/>
      <c r="C59" s="68">
        <f>C61+C63+C65+C67</f>
        <v>-9243272</v>
      </c>
      <c r="D59" s="68">
        <f t="shared" ref="D59:E59" si="21">D61+D63+D65+D67</f>
        <v>-12844242.709999999</v>
      </c>
      <c r="E59" s="68">
        <f t="shared" si="21"/>
        <v>-10303408.370000001</v>
      </c>
      <c r="F59" s="68">
        <f t="shared" ref="F59" si="22">F61+F63+F65+F67</f>
        <v>-8385251</v>
      </c>
      <c r="G59" s="68">
        <f t="shared" ref="G59" si="23">G61+G63+G65+G67</f>
        <v>2540834.3399999989</v>
      </c>
      <c r="J59" s="60"/>
      <c r="K59" s="60"/>
      <c r="L59" s="60"/>
      <c r="M59" s="60"/>
      <c r="N59" s="60"/>
      <c r="O59" s="60"/>
    </row>
    <row r="60" spans="1:15" ht="15.75" x14ac:dyDescent="0.25">
      <c r="A60" s="77"/>
      <c r="B60" s="75" t="s">
        <v>9</v>
      </c>
      <c r="C60" s="70">
        <f>C62+C64+C66+C68</f>
        <v>-6544680</v>
      </c>
      <c r="D60" s="70">
        <f t="shared" ref="D60:E60" si="24">D62+D64+D66+D68</f>
        <v>-8340340.8399999999</v>
      </c>
      <c r="E60" s="70">
        <f t="shared" si="24"/>
        <v>-7638797.4900000002</v>
      </c>
      <c r="F60" s="70">
        <f t="shared" ref="F60" si="25">F62+F64+F66+F68</f>
        <v>-5917406.4199999999</v>
      </c>
      <c r="G60" s="70">
        <f t="shared" ref="G60" si="26">G62+G64+G66+G68</f>
        <v>701543.35000000079</v>
      </c>
      <c r="H60" s="38"/>
      <c r="I60" s="38"/>
      <c r="J60" s="62"/>
      <c r="K60" s="58"/>
      <c r="L60" s="58"/>
      <c r="M60" s="58"/>
      <c r="N60" s="58"/>
      <c r="O60" s="58"/>
    </row>
    <row r="61" spans="1:15" ht="15.75" x14ac:dyDescent="0.25">
      <c r="A61" s="45" t="s">
        <v>76</v>
      </c>
      <c r="B61" s="46"/>
      <c r="C61" s="4">
        <v>-970883</v>
      </c>
      <c r="D61" s="4">
        <f>C61+129759-126221-385263.26</f>
        <v>-1352608.26</v>
      </c>
      <c r="E61" s="4">
        <v>-953414.38</v>
      </c>
      <c r="F61" s="4">
        <v>-896232</v>
      </c>
      <c r="G61" s="4">
        <f t="shared" ref="G61:G68" si="27">E61-D61</f>
        <v>399193.88</v>
      </c>
      <c r="H61" s="38"/>
      <c r="I61" s="38"/>
      <c r="J61" s="61"/>
      <c r="K61" s="58"/>
      <c r="L61" s="58"/>
      <c r="M61" s="58"/>
      <c r="N61" s="58"/>
      <c r="O61" s="58"/>
    </row>
    <row r="62" spans="1:15" ht="15.75" x14ac:dyDescent="0.25">
      <c r="A62" s="45"/>
      <c r="B62" s="46" t="s">
        <v>9</v>
      </c>
      <c r="C62" s="4">
        <v>-968528</v>
      </c>
      <c r="D62" s="4">
        <f>C62+129759-126221-311968.27</f>
        <v>-1276958.27</v>
      </c>
      <c r="E62" s="4">
        <v>-880915.96</v>
      </c>
      <c r="F62" s="4">
        <v>-846676.03</v>
      </c>
      <c r="G62" s="4">
        <f t="shared" si="27"/>
        <v>396042.31000000006</v>
      </c>
      <c r="H62" s="38"/>
      <c r="I62" s="38"/>
      <c r="J62" s="62"/>
      <c r="K62" s="58"/>
      <c r="L62" s="58"/>
      <c r="M62" s="58"/>
      <c r="N62" s="58"/>
      <c r="O62" s="58"/>
    </row>
    <row r="63" spans="1:15" ht="15.75" x14ac:dyDescent="0.25">
      <c r="A63" s="45" t="s">
        <v>77</v>
      </c>
      <c r="B63" s="46"/>
      <c r="C63" s="4">
        <v>-2838928</v>
      </c>
      <c r="D63" s="4">
        <f>C63-2263-183885+795289-1601758.72</f>
        <v>-3831545.7199999997</v>
      </c>
      <c r="E63" s="4">
        <v>-2863999.03</v>
      </c>
      <c r="F63" s="4">
        <v>-1931432</v>
      </c>
      <c r="G63" s="4">
        <f t="shared" si="27"/>
        <v>967546.69</v>
      </c>
      <c r="H63" s="38"/>
      <c r="I63" s="38"/>
      <c r="J63" s="61"/>
      <c r="K63" s="58"/>
      <c r="L63" s="58"/>
      <c r="M63" s="58"/>
      <c r="N63" s="58"/>
      <c r="O63" s="58"/>
    </row>
    <row r="64" spans="1:15" ht="15.75" x14ac:dyDescent="0.25">
      <c r="A64" s="45"/>
      <c r="B64" s="46" t="s">
        <v>9</v>
      </c>
      <c r="C64" s="4">
        <v>-1954166</v>
      </c>
      <c r="D64" s="4">
        <f>C64-2263-183885-261736.56</f>
        <v>-2402050.56</v>
      </c>
      <c r="E64" s="4">
        <v>-2280600.0099999998</v>
      </c>
      <c r="F64" s="4">
        <v>-1581148.76</v>
      </c>
      <c r="G64" s="4">
        <f t="shared" si="27"/>
        <v>121450.55000000028</v>
      </c>
      <c r="H64" s="38"/>
      <c r="I64" s="38"/>
      <c r="J64" s="62"/>
      <c r="K64" s="58"/>
      <c r="L64" s="58"/>
      <c r="M64" s="58"/>
      <c r="N64" s="58"/>
      <c r="O64" s="58"/>
    </row>
    <row r="65" spans="1:15" ht="15.75" x14ac:dyDescent="0.25">
      <c r="A65" s="45" t="s">
        <v>78</v>
      </c>
      <c r="B65" s="46"/>
      <c r="C65" s="4">
        <v>-1344107</v>
      </c>
      <c r="D65" s="4">
        <f>C65-1491+135870+20000-683830.45</f>
        <v>-1873558.45</v>
      </c>
      <c r="E65" s="4">
        <v>-1729592.93</v>
      </c>
      <c r="F65" s="4">
        <v>-1335019</v>
      </c>
      <c r="G65" s="4">
        <f t="shared" si="27"/>
        <v>143965.52000000002</v>
      </c>
      <c r="H65" s="38"/>
      <c r="I65" s="38"/>
      <c r="J65" s="61"/>
      <c r="K65" s="58"/>
      <c r="L65" s="58"/>
      <c r="M65" s="58"/>
      <c r="N65" s="58"/>
      <c r="O65" s="58"/>
    </row>
    <row r="66" spans="1:15" ht="15.75" x14ac:dyDescent="0.25">
      <c r="A66" s="45"/>
      <c r="B66" s="46" t="s">
        <v>9</v>
      </c>
      <c r="C66" s="4">
        <v>-1295188</v>
      </c>
      <c r="D66" s="4">
        <f>C66-1491+135870-515766.35</f>
        <v>-1676575.35</v>
      </c>
      <c r="E66" s="4">
        <v>-1643921.45</v>
      </c>
      <c r="F66" s="4">
        <v>-1266403.23</v>
      </c>
      <c r="G66" s="4">
        <f t="shared" si="27"/>
        <v>32653.90000000014</v>
      </c>
      <c r="H66" s="38"/>
      <c r="I66" s="38"/>
      <c r="J66" s="62"/>
      <c r="K66" s="58"/>
      <c r="L66" s="58"/>
      <c r="M66" s="58"/>
      <c r="N66" s="58"/>
      <c r="O66" s="58"/>
    </row>
    <row r="67" spans="1:15" ht="15.75" x14ac:dyDescent="0.25">
      <c r="A67" s="45" t="s">
        <v>79</v>
      </c>
      <c r="B67" s="45"/>
      <c r="C67" s="4">
        <v>-4089354</v>
      </c>
      <c r="D67" s="4">
        <f>C67-2065-364510+1516544-2847145.28</f>
        <v>-5786530.2799999993</v>
      </c>
      <c r="E67" s="4">
        <v>-4756402.03</v>
      </c>
      <c r="F67" s="4">
        <v>-4222568</v>
      </c>
      <c r="G67" s="4">
        <f t="shared" si="27"/>
        <v>1030128.2499999991</v>
      </c>
      <c r="H67" s="38"/>
      <c r="I67" s="38"/>
      <c r="J67" s="61"/>
      <c r="K67" s="58"/>
      <c r="L67" s="58"/>
      <c r="M67" s="58"/>
      <c r="N67" s="58"/>
      <c r="O67" s="58"/>
    </row>
    <row r="68" spans="1:15" ht="15.75" x14ac:dyDescent="0.25">
      <c r="A68" s="45"/>
      <c r="B68" s="46" t="s">
        <v>9</v>
      </c>
      <c r="C68" s="4">
        <v>-2326798</v>
      </c>
      <c r="D68" s="4">
        <f>C68-2065-364510-291383.66</f>
        <v>-2984756.66</v>
      </c>
      <c r="E68" s="4">
        <v>-2833360.07</v>
      </c>
      <c r="F68" s="4">
        <v>-2223178.4</v>
      </c>
      <c r="G68" s="4">
        <f t="shared" si="27"/>
        <v>151396.59000000032</v>
      </c>
      <c r="H68" s="38"/>
      <c r="I68" s="38"/>
      <c r="J68" s="62"/>
      <c r="K68" s="58"/>
      <c r="L68" s="58"/>
      <c r="M68" s="58"/>
      <c r="N68" s="58"/>
      <c r="O68" s="58"/>
    </row>
    <row r="69" spans="1:15" ht="15.75" x14ac:dyDescent="0.25">
      <c r="A69" s="74" t="s">
        <v>27</v>
      </c>
      <c r="B69" s="74"/>
      <c r="C69" s="68">
        <f>C71+C73+C75+C77+C79</f>
        <v>-22891617</v>
      </c>
      <c r="D69" s="68">
        <f t="shared" ref="D69:G69" si="28">D71+D73+D75+D77+D79</f>
        <v>-30220857.049999997</v>
      </c>
      <c r="E69" s="68">
        <f t="shared" si="28"/>
        <v>-25857725.049999997</v>
      </c>
      <c r="F69" s="68">
        <f t="shared" si="28"/>
        <v>-25501058</v>
      </c>
      <c r="G69" s="68">
        <f t="shared" si="28"/>
        <v>4363132.0000000009</v>
      </c>
      <c r="J69" s="60"/>
      <c r="K69" s="60"/>
      <c r="L69" s="60"/>
      <c r="M69" s="60"/>
      <c r="N69" s="60"/>
      <c r="O69" s="60"/>
    </row>
    <row r="70" spans="1:15" ht="15.75" x14ac:dyDescent="0.25">
      <c r="A70" s="47"/>
      <c r="B70" s="46" t="s">
        <v>9</v>
      </c>
      <c r="C70" s="4">
        <f>C72+C74+C76+C78+C80</f>
        <v>-19021666</v>
      </c>
      <c r="D70" s="4">
        <f t="shared" ref="D70:G70" si="29">D72+D74+D76+D78+D80</f>
        <v>-22874459.859999999</v>
      </c>
      <c r="E70" s="4">
        <f t="shared" si="29"/>
        <v>-20646005.969999999</v>
      </c>
      <c r="F70" s="4">
        <f t="shared" si="29"/>
        <v>-20625916.509999998</v>
      </c>
      <c r="G70" s="4">
        <f t="shared" si="29"/>
        <v>2228453.8899999992</v>
      </c>
      <c r="J70" s="62"/>
      <c r="K70" s="58"/>
      <c r="L70" s="58"/>
      <c r="M70" s="58"/>
      <c r="N70" s="58"/>
      <c r="O70" s="58"/>
    </row>
    <row r="71" spans="1:15" ht="15.75" x14ac:dyDescent="0.25">
      <c r="A71" s="47" t="s">
        <v>84</v>
      </c>
      <c r="B71" s="45"/>
      <c r="C71" s="4">
        <v>-8542829</v>
      </c>
      <c r="D71" s="4">
        <f>C71-275933-297471+2782233-6141882.79-479161.4</f>
        <v>-12955044.189999999</v>
      </c>
      <c r="E71" s="4">
        <v>-9643756.0299999993</v>
      </c>
      <c r="F71" s="4">
        <v>-8664070</v>
      </c>
      <c r="G71" s="4">
        <f t="shared" ref="G71:G72" si="30">E71-D71</f>
        <v>3311288.16</v>
      </c>
      <c r="H71" s="38"/>
      <c r="I71" s="38"/>
      <c r="K71" s="58"/>
      <c r="L71" s="58"/>
      <c r="M71" s="58"/>
      <c r="N71" s="58"/>
      <c r="O71" s="58"/>
    </row>
    <row r="72" spans="1:15" ht="15.75" x14ac:dyDescent="0.25">
      <c r="A72" s="47"/>
      <c r="B72" s="46" t="s">
        <v>9</v>
      </c>
      <c r="C72" s="4">
        <v>-5704015</v>
      </c>
      <c r="D72" s="4">
        <f>C72-275933-297471-684018.79</f>
        <v>-6961437.79</v>
      </c>
      <c r="E72" s="4">
        <v>-5823463.6500000004</v>
      </c>
      <c r="F72" s="4">
        <v>-4988855.58</v>
      </c>
      <c r="G72" s="4">
        <f t="shared" si="30"/>
        <v>1137974.1399999997</v>
      </c>
      <c r="H72" s="38"/>
      <c r="I72" s="38"/>
      <c r="J72" s="62"/>
      <c r="K72" s="58"/>
      <c r="L72" s="58"/>
      <c r="M72" s="58"/>
      <c r="N72" s="58"/>
      <c r="O72" s="58"/>
    </row>
    <row r="73" spans="1:15" ht="15.75" x14ac:dyDescent="0.25">
      <c r="A73" s="47" t="s">
        <v>80</v>
      </c>
      <c r="B73" s="46"/>
      <c r="C73" s="4">
        <v>-1542411</v>
      </c>
      <c r="D73" s="4">
        <f>C73-709752-744556+19811-552832.35-5233.85</f>
        <v>-3534974.2</v>
      </c>
      <c r="E73" s="4">
        <v>-2549289.0699999998</v>
      </c>
      <c r="F73" s="4">
        <v>-1765110</v>
      </c>
      <c r="G73" s="4">
        <f t="shared" ref="G73:G80" si="31">E73-D73</f>
        <v>985685.13000000035</v>
      </c>
      <c r="H73" s="38"/>
      <c r="I73" s="38"/>
      <c r="K73" s="58"/>
      <c r="L73" s="58"/>
      <c r="M73" s="58"/>
      <c r="N73" s="58"/>
      <c r="O73" s="58"/>
    </row>
    <row r="74" spans="1:15" ht="15.75" x14ac:dyDescent="0.25">
      <c r="A74" s="47"/>
      <c r="B74" s="46" t="s">
        <v>9</v>
      </c>
      <c r="C74" s="4">
        <v>-1522600</v>
      </c>
      <c r="D74" s="4">
        <f>C74-709752-744556-473417.91</f>
        <v>-3450325.91</v>
      </c>
      <c r="E74" s="4">
        <v>-2412054.11</v>
      </c>
      <c r="F74" s="4">
        <v>-1737924</v>
      </c>
      <c r="G74" s="4">
        <f t="shared" si="31"/>
        <v>1038271.8000000003</v>
      </c>
      <c r="H74" s="38"/>
      <c r="I74" s="38"/>
      <c r="J74" s="62"/>
      <c r="K74" s="58"/>
      <c r="L74" s="58"/>
      <c r="M74" s="58"/>
      <c r="N74" s="58"/>
      <c r="O74" s="58"/>
    </row>
    <row r="75" spans="1:15" ht="15.75" x14ac:dyDescent="0.25">
      <c r="A75" s="47" t="s">
        <v>81</v>
      </c>
      <c r="B75" s="46"/>
      <c r="C75" s="4">
        <v>-1146981</v>
      </c>
      <c r="D75" s="4">
        <f>C75+27666-8483+656844-813082.1+13971.61</f>
        <v>-1270064.49</v>
      </c>
      <c r="E75" s="4">
        <v>-1223365.92</v>
      </c>
      <c r="F75" s="4">
        <v>-1220846</v>
      </c>
      <c r="G75" s="4">
        <f t="shared" si="31"/>
        <v>46698.570000000065</v>
      </c>
      <c r="H75" s="38"/>
      <c r="I75" s="38"/>
      <c r="K75" s="58"/>
      <c r="L75" s="58"/>
      <c r="M75" s="58"/>
      <c r="N75" s="58"/>
      <c r="O75" s="58"/>
    </row>
    <row r="76" spans="1:15" ht="15.75" x14ac:dyDescent="0.25">
      <c r="A76" s="47"/>
      <c r="B76" s="46" t="s">
        <v>9</v>
      </c>
      <c r="C76" s="4">
        <v>-480323</v>
      </c>
      <c r="D76" s="4">
        <f>C76+27666-8483-2305.12</f>
        <v>-463445.12</v>
      </c>
      <c r="E76" s="4">
        <v>-430731.45</v>
      </c>
      <c r="F76" s="4">
        <v>-542666.84</v>
      </c>
      <c r="G76" s="4">
        <f t="shared" si="31"/>
        <v>32713.669999999984</v>
      </c>
      <c r="H76" s="38"/>
      <c r="I76" s="38"/>
      <c r="J76" s="62"/>
      <c r="K76" s="58"/>
      <c r="L76" s="58"/>
      <c r="M76" s="58"/>
      <c r="N76" s="58"/>
      <c r="O76" s="58"/>
    </row>
    <row r="77" spans="1:15" ht="15.75" x14ac:dyDescent="0.25">
      <c r="A77" s="47" t="s">
        <v>82</v>
      </c>
      <c r="B77" s="46"/>
      <c r="C77" s="4">
        <v>-5401558</v>
      </c>
      <c r="D77" s="4">
        <f>C77+55683+1118+320800-1141963.43+113375.73</f>
        <v>-6052544.6999999993</v>
      </c>
      <c r="E77" s="4">
        <v>-6036112.6799999997</v>
      </c>
      <c r="F77" s="4">
        <v>-7462306</v>
      </c>
      <c r="G77" s="4">
        <f t="shared" si="31"/>
        <v>16432.019999999553</v>
      </c>
      <c r="H77" s="38"/>
      <c r="I77" s="38"/>
      <c r="K77" s="58"/>
      <c r="L77" s="58"/>
      <c r="M77" s="58"/>
      <c r="N77" s="58"/>
      <c r="O77" s="58"/>
    </row>
    <row r="78" spans="1:15" ht="15.75" x14ac:dyDescent="0.25">
      <c r="A78" s="47"/>
      <c r="B78" s="46" t="s">
        <v>9</v>
      </c>
      <c r="C78" s="4">
        <v>-5078643</v>
      </c>
      <c r="D78" s="4">
        <f>C78+55683+1118-638675.78</f>
        <v>-5660517.7800000003</v>
      </c>
      <c r="E78" s="4">
        <v>-5643827.4000000004</v>
      </c>
      <c r="F78" s="4">
        <v>-7023691.5199999996</v>
      </c>
      <c r="G78" s="4">
        <f t="shared" si="31"/>
        <v>16690.379999999888</v>
      </c>
      <c r="H78" s="38"/>
      <c r="I78" s="38"/>
      <c r="J78" s="62"/>
      <c r="K78" s="58"/>
      <c r="L78" s="58"/>
      <c r="M78" s="58"/>
      <c r="N78" s="58"/>
      <c r="O78" s="58"/>
    </row>
    <row r="79" spans="1:15" ht="15.75" x14ac:dyDescent="0.25">
      <c r="A79" s="47" t="s">
        <v>83</v>
      </c>
      <c r="B79" s="46"/>
      <c r="C79" s="4">
        <v>-6257838</v>
      </c>
      <c r="D79" s="4">
        <f>C79-77609+509-32919.89-40371.58</f>
        <v>-6408229.4699999997</v>
      </c>
      <c r="E79" s="4">
        <v>-6405201.3499999996</v>
      </c>
      <c r="F79" s="4">
        <v>-6388726</v>
      </c>
      <c r="G79" s="4">
        <f t="shared" si="31"/>
        <v>3028.1200000001118</v>
      </c>
      <c r="H79" s="38"/>
      <c r="I79" s="38"/>
      <c r="K79" s="58"/>
      <c r="L79" s="58"/>
      <c r="M79" s="58"/>
      <c r="N79" s="58"/>
      <c r="O79" s="58"/>
    </row>
    <row r="80" spans="1:15" ht="15.75" x14ac:dyDescent="0.25">
      <c r="A80" s="47"/>
      <c r="B80" s="46" t="s">
        <v>9</v>
      </c>
      <c r="C80" s="4">
        <v>-6236085</v>
      </c>
      <c r="D80" s="4">
        <f>C80-77609+509-25548.26</f>
        <v>-6338733.2599999998</v>
      </c>
      <c r="E80" s="4">
        <v>-6335929.3600000003</v>
      </c>
      <c r="F80" s="4">
        <v>-6332778.5700000003</v>
      </c>
      <c r="G80" s="4">
        <f t="shared" si="31"/>
        <v>2803.8999999994412</v>
      </c>
      <c r="H80" s="38"/>
      <c r="I80" s="38"/>
      <c r="J80" s="62"/>
      <c r="K80" s="58"/>
      <c r="L80" s="58"/>
      <c r="M80" s="58"/>
      <c r="N80" s="58"/>
      <c r="O80" s="58"/>
    </row>
    <row r="81" spans="1:15" ht="15.75" x14ac:dyDescent="0.25">
      <c r="A81" s="73" t="s">
        <v>28</v>
      </c>
      <c r="B81" s="72"/>
      <c r="C81" s="68">
        <f>C83+C85+C86+C88+C90+C92+C94+C96+C98</f>
        <v>-2332159180</v>
      </c>
      <c r="D81" s="68">
        <f>D83+D85+D86+D88+D90+D92+D94+D96+D98</f>
        <v>-2394292372.8699999</v>
      </c>
      <c r="E81" s="68">
        <f>E83+E85+E86+E88+E90+E92+E94+E96+E98</f>
        <v>-2360264774.2700005</v>
      </c>
      <c r="F81" s="68">
        <f>F83+F85+F86+F88+F90+F92+F94+F96+F98</f>
        <v>-2175346750</v>
      </c>
      <c r="G81" s="68">
        <f>G83+G85+G86+G88+G90+G92+G94+G96+G98</f>
        <v>34027598.599999845</v>
      </c>
      <c r="J81" s="63"/>
      <c r="K81" s="60"/>
      <c r="L81" s="60"/>
      <c r="M81" s="60"/>
      <c r="N81" s="60"/>
      <c r="O81" s="60"/>
    </row>
    <row r="82" spans="1:15" ht="15.75" x14ac:dyDescent="0.25">
      <c r="A82" s="45"/>
      <c r="B82" s="46" t="s">
        <v>9</v>
      </c>
      <c r="C82" s="4">
        <f>C84+C87+C89+C91+C93+C95+C97+C99</f>
        <v>-174045051</v>
      </c>
      <c r="D82" s="4">
        <f>D84+D87+D89+D91+D93+D95+D97+D99</f>
        <v>-232141700.20999998</v>
      </c>
      <c r="E82" s="4">
        <f>E84+E87+E89+E91+E93+E95+E97+E99</f>
        <v>-210537689.68000004</v>
      </c>
      <c r="F82" s="4">
        <f>F84+F87+F89+F91+F93+F95+F97+F99</f>
        <v>-244939321.16000003</v>
      </c>
      <c r="G82" s="4">
        <f>G84+G87+G89+G91+G93+G95+G97+G99</f>
        <v>21604010.529999986</v>
      </c>
      <c r="H82" s="38"/>
      <c r="I82" s="38"/>
      <c r="J82" s="62"/>
      <c r="K82" s="58"/>
      <c r="L82" s="58"/>
      <c r="M82" s="58"/>
      <c r="N82" s="58"/>
      <c r="O82" s="58"/>
    </row>
    <row r="83" spans="1:15" ht="15.75" x14ac:dyDescent="0.25">
      <c r="A83" s="45" t="s">
        <v>85</v>
      </c>
      <c r="B83" s="46"/>
      <c r="C83" s="4">
        <v>-5862597</v>
      </c>
      <c r="D83" s="4">
        <f>C83+258227-3772+134483-4634949.33</f>
        <v>-10108608.33</v>
      </c>
      <c r="E83" s="4">
        <v>-7645915.9400000004</v>
      </c>
      <c r="F83" s="4">
        <v>-5490434</v>
      </c>
      <c r="G83" s="4">
        <f t="shared" ref="G83:G99" si="32">E83-D83</f>
        <v>2462692.3899999997</v>
      </c>
      <c r="H83" s="38"/>
      <c r="I83" s="38"/>
      <c r="J83" s="61"/>
      <c r="K83" s="58"/>
      <c r="L83" s="58"/>
      <c r="M83" s="58"/>
      <c r="N83" s="58"/>
      <c r="O83" s="58"/>
    </row>
    <row r="84" spans="1:15" ht="15.75" x14ac:dyDescent="0.25">
      <c r="A84" s="45"/>
      <c r="B84" s="46" t="s">
        <v>9</v>
      </c>
      <c r="C84" s="4">
        <v>-5161715</v>
      </c>
      <c r="D84" s="4">
        <f>C84+258227-3772-2006589.18</f>
        <v>-6913849.1799999997</v>
      </c>
      <c r="E84" s="4">
        <v>-5071005.5</v>
      </c>
      <c r="F84" s="4">
        <v>-4236348.5</v>
      </c>
      <c r="G84" s="4">
        <f t="shared" si="32"/>
        <v>1842843.6799999997</v>
      </c>
      <c r="H84" s="38"/>
      <c r="I84" s="38"/>
      <c r="J84" s="62"/>
      <c r="K84" s="58"/>
      <c r="L84" s="58"/>
      <c r="M84" s="58"/>
      <c r="N84" s="58"/>
      <c r="O84" s="58"/>
    </row>
    <row r="85" spans="1:15" ht="15.75" x14ac:dyDescent="0.25">
      <c r="A85" s="45" t="s">
        <v>105</v>
      </c>
      <c r="B85" s="46"/>
      <c r="C85" s="4">
        <v>-33468438</v>
      </c>
      <c r="D85" s="4">
        <f>C85+3765+33464673-2266415.72</f>
        <v>-2266415.7200000002</v>
      </c>
      <c r="E85" s="4">
        <v>-2244674.7599999998</v>
      </c>
      <c r="F85" s="4">
        <v>0</v>
      </c>
      <c r="G85" s="4">
        <f t="shared" si="32"/>
        <v>21740.960000000428</v>
      </c>
      <c r="H85" s="38"/>
      <c r="I85" s="38"/>
      <c r="J85" s="61"/>
      <c r="K85" s="58"/>
      <c r="L85" s="58"/>
      <c r="M85" s="58"/>
      <c r="N85" s="58"/>
      <c r="O85" s="58"/>
    </row>
    <row r="86" spans="1:15" ht="15.75" x14ac:dyDescent="0.25">
      <c r="A86" s="45" t="s">
        <v>86</v>
      </c>
      <c r="B86" s="46"/>
      <c r="C86" s="4">
        <v>-5970393</v>
      </c>
      <c r="D86" s="4">
        <f>C86+733467+202709+843480-5570966.5</f>
        <v>-9761703.5</v>
      </c>
      <c r="E86" s="4">
        <v>-8222894.5300000003</v>
      </c>
      <c r="F86" s="4">
        <v>-3515263</v>
      </c>
      <c r="G86" s="4">
        <f t="shared" si="32"/>
        <v>1538808.9699999997</v>
      </c>
      <c r="H86" s="38"/>
      <c r="I86" s="38"/>
      <c r="J86" s="61"/>
      <c r="K86" s="58"/>
      <c r="L86" s="58"/>
      <c r="M86" s="58"/>
      <c r="N86" s="58"/>
      <c r="O86" s="58"/>
    </row>
    <row r="87" spans="1:15" ht="15.75" x14ac:dyDescent="0.25">
      <c r="A87" s="45"/>
      <c r="B87" s="46" t="s">
        <v>9</v>
      </c>
      <c r="C87" s="4">
        <v>-4376913</v>
      </c>
      <c r="D87" s="4">
        <f>C87+733467+202709-3800966.5</f>
        <v>-7241703.5</v>
      </c>
      <c r="E87" s="4">
        <v>-6415024.04</v>
      </c>
      <c r="F87" s="4">
        <v>-3203980.09</v>
      </c>
      <c r="G87" s="4">
        <f t="shared" si="32"/>
        <v>826679.46</v>
      </c>
      <c r="H87" s="38"/>
      <c r="I87" s="38"/>
      <c r="J87" s="62"/>
      <c r="K87" s="58"/>
      <c r="L87" s="58"/>
      <c r="M87" s="58"/>
      <c r="N87" s="58"/>
      <c r="O87" s="58"/>
    </row>
    <row r="88" spans="1:15" ht="15.75" x14ac:dyDescent="0.25">
      <c r="A88" s="45" t="s">
        <v>106</v>
      </c>
      <c r="B88" s="46"/>
      <c r="C88" s="4">
        <v>-53142538</v>
      </c>
      <c r="D88" s="4">
        <f>C88+230300+2236149+47640952-91663946.14</f>
        <v>-94699083.140000001</v>
      </c>
      <c r="E88" s="4">
        <v>-87332744.980000004</v>
      </c>
      <c r="F88" s="4">
        <v>-2104386914</v>
      </c>
      <c r="G88" s="4">
        <f t="shared" si="32"/>
        <v>7366338.1599999964</v>
      </c>
      <c r="H88" s="38"/>
      <c r="I88" s="38"/>
      <c r="J88" s="61"/>
      <c r="K88" s="58"/>
      <c r="L88" s="58"/>
      <c r="M88" s="58"/>
      <c r="N88" s="58"/>
      <c r="O88" s="58"/>
    </row>
    <row r="89" spans="1:15" ht="15.75" x14ac:dyDescent="0.25">
      <c r="A89" s="45"/>
      <c r="B89" s="46" t="s">
        <v>9</v>
      </c>
      <c r="C89" s="4">
        <v>-5456620</v>
      </c>
      <c r="D89" s="4">
        <f>C89+222769+2236149-21146094.82</f>
        <v>-24143796.82</v>
      </c>
      <c r="E89" s="4">
        <v>-17097275.260000002</v>
      </c>
      <c r="F89" s="4">
        <v>-200722778.63</v>
      </c>
      <c r="G89" s="4">
        <f t="shared" si="32"/>
        <v>7046521.5599999987</v>
      </c>
      <c r="H89" s="38"/>
      <c r="I89" s="38"/>
      <c r="J89" s="62"/>
      <c r="K89" s="58"/>
      <c r="L89" s="58"/>
      <c r="M89" s="58"/>
      <c r="N89" s="58"/>
      <c r="O89" s="58"/>
    </row>
    <row r="90" spans="1:15" ht="15.75" x14ac:dyDescent="0.25">
      <c r="A90" s="45" t="s">
        <v>87</v>
      </c>
      <c r="B90" s="46"/>
      <c r="C90" s="4">
        <v>-2408173</v>
      </c>
      <c r="D90" s="4">
        <f>C90+672649-352300+128198-1786382.4</f>
        <v>-3746008.4</v>
      </c>
      <c r="E90" s="4">
        <v>-3258546.56</v>
      </c>
      <c r="F90" s="4">
        <v>-2092860</v>
      </c>
      <c r="G90" s="4">
        <f t="shared" si="32"/>
        <v>487461.83999999985</v>
      </c>
      <c r="H90" s="38"/>
      <c r="I90" s="38"/>
      <c r="J90" s="61"/>
      <c r="K90" s="58"/>
      <c r="L90" s="58"/>
      <c r="M90" s="58"/>
      <c r="N90" s="58"/>
      <c r="O90" s="58"/>
    </row>
    <row r="91" spans="1:15" ht="15.75" x14ac:dyDescent="0.25">
      <c r="A91" s="45"/>
      <c r="B91" s="46" t="s">
        <v>9</v>
      </c>
      <c r="C91" s="4">
        <v>-2180892</v>
      </c>
      <c r="D91" s="4">
        <f>C91+672649-352300-1187181.22</f>
        <v>-3047724.2199999997</v>
      </c>
      <c r="E91" s="4">
        <v>-2629900.98</v>
      </c>
      <c r="F91" s="4">
        <v>-1649061.87</v>
      </c>
      <c r="G91" s="4">
        <f t="shared" si="32"/>
        <v>417823.23999999976</v>
      </c>
      <c r="H91" s="38"/>
      <c r="I91" s="38"/>
      <c r="J91" s="62"/>
      <c r="K91" s="58"/>
      <c r="L91" s="58"/>
      <c r="M91" s="58"/>
      <c r="N91" s="58"/>
      <c r="O91" s="58"/>
    </row>
    <row r="92" spans="1:15" ht="15.75" x14ac:dyDescent="0.25">
      <c r="A92" s="45" t="s">
        <v>107</v>
      </c>
      <c r="B92" s="46"/>
      <c r="C92" s="4">
        <v>-2218720761</v>
      </c>
      <c r="D92" s="4">
        <f>C92-25843+1423096+236340-20024504.06-10</f>
        <v>-2237111682.0599999</v>
      </c>
      <c r="E92" s="4">
        <f>-2223298118.9</f>
        <v>-2223298118.9000001</v>
      </c>
      <c r="F92" s="4">
        <v>0</v>
      </c>
      <c r="G92" s="4">
        <f t="shared" si="32"/>
        <v>13813563.159999847</v>
      </c>
      <c r="H92" s="38"/>
      <c r="I92" s="38"/>
      <c r="J92" s="61"/>
      <c r="K92" s="58"/>
      <c r="L92" s="58"/>
      <c r="M92" s="58"/>
      <c r="N92" s="58"/>
      <c r="O92" s="58"/>
    </row>
    <row r="93" spans="1:15" ht="15.75" x14ac:dyDescent="0.25">
      <c r="A93" s="45"/>
      <c r="B93" s="46" t="s">
        <v>9</v>
      </c>
      <c r="C93" s="4">
        <v>-148571020</v>
      </c>
      <c r="D93" s="4">
        <f>C93-25843+1423096-18229150.94-10</f>
        <v>-165402927.94</v>
      </c>
      <c r="E93" s="4">
        <v>-157427388.27000001</v>
      </c>
      <c r="F93" s="4">
        <v>0</v>
      </c>
      <c r="G93" s="4">
        <f t="shared" si="32"/>
        <v>7975539.6699999869</v>
      </c>
      <c r="H93" s="38"/>
      <c r="I93" s="38"/>
      <c r="J93" s="62"/>
      <c r="K93" s="58"/>
      <c r="L93" s="58"/>
      <c r="M93" s="58"/>
      <c r="N93" s="58"/>
      <c r="O93" s="58"/>
    </row>
    <row r="94" spans="1:15" ht="15.75" x14ac:dyDescent="0.25">
      <c r="A94" s="45" t="s">
        <v>88</v>
      </c>
      <c r="B94" s="46"/>
      <c r="C94" s="4">
        <v>-766620</v>
      </c>
      <c r="D94" s="4">
        <f>C94+89208-245095-228769.94</f>
        <v>-1151276.94</v>
      </c>
      <c r="E94" s="4">
        <v>-823398.88</v>
      </c>
      <c r="F94" s="4">
        <v>-677512</v>
      </c>
      <c r="G94" s="4">
        <f t="shared" si="32"/>
        <v>327878.05999999994</v>
      </c>
      <c r="H94" s="38"/>
      <c r="I94" s="38"/>
      <c r="J94" s="61"/>
      <c r="K94" s="58"/>
      <c r="L94" s="58"/>
      <c r="M94" s="58"/>
      <c r="N94" s="58"/>
      <c r="O94" s="58"/>
    </row>
    <row r="95" spans="1:15" ht="15.75" x14ac:dyDescent="0.25">
      <c r="A95" s="45"/>
      <c r="B95" s="46" t="s">
        <v>9</v>
      </c>
      <c r="C95" s="4">
        <v>-765001</v>
      </c>
      <c r="D95" s="4">
        <f>C95+89208-245095-192548.78</f>
        <v>-1113436.78</v>
      </c>
      <c r="E95" s="4">
        <v>-761226.86</v>
      </c>
      <c r="F95" s="4">
        <v>-643806.21</v>
      </c>
      <c r="G95" s="4">
        <f t="shared" si="32"/>
        <v>352209.92000000004</v>
      </c>
      <c r="H95" s="38"/>
      <c r="I95" s="38"/>
      <c r="J95" s="62"/>
      <c r="K95" s="58"/>
      <c r="L95" s="58"/>
      <c r="M95" s="58"/>
      <c r="N95" s="58"/>
      <c r="O95" s="58"/>
    </row>
    <row r="96" spans="1:15" ht="15.75" x14ac:dyDescent="0.25">
      <c r="A96" s="45" t="s">
        <v>89</v>
      </c>
      <c r="B96" s="46"/>
      <c r="C96" s="4">
        <v>-7558398</v>
      </c>
      <c r="D96" s="4">
        <f>C96-9863-89170+3453567-9554711.58</f>
        <v>-13758575.58</v>
      </c>
      <c r="E96" s="4">
        <v>-9215645.8200000003</v>
      </c>
      <c r="F96" s="4">
        <v>-8217289</v>
      </c>
      <c r="G96" s="4">
        <f t="shared" si="32"/>
        <v>4542929.76</v>
      </c>
      <c r="H96" s="38"/>
      <c r="I96" s="38"/>
      <c r="J96" s="61"/>
      <c r="K96" s="58"/>
      <c r="L96" s="58"/>
      <c r="M96" s="58"/>
      <c r="N96" s="58"/>
      <c r="O96" s="58"/>
    </row>
    <row r="97" spans="1:15" ht="15.75" x14ac:dyDescent="0.25">
      <c r="A97" s="45"/>
      <c r="B97" s="46" t="s">
        <v>9</v>
      </c>
      <c r="C97" s="4">
        <v>-3691450</v>
      </c>
      <c r="D97" s="4">
        <f>C97-9863-89170-589171.63</f>
        <v>-4379654.63</v>
      </c>
      <c r="E97" s="4">
        <v>-4213979.6100000003</v>
      </c>
      <c r="F97" s="4">
        <v>-3907905.24</v>
      </c>
      <c r="G97" s="4">
        <f t="shared" si="32"/>
        <v>165675.01999999955</v>
      </c>
      <c r="H97" s="38"/>
      <c r="I97" s="38"/>
      <c r="J97" s="62"/>
      <c r="K97" s="58"/>
      <c r="L97" s="58"/>
      <c r="M97" s="58"/>
      <c r="N97" s="58"/>
      <c r="O97" s="58"/>
    </row>
    <row r="98" spans="1:15" ht="15.75" x14ac:dyDescent="0.25">
      <c r="A98" s="45" t="s">
        <v>90</v>
      </c>
      <c r="B98" s="46"/>
      <c r="C98" s="4">
        <v>-4261262</v>
      </c>
      <c r="D98" s="4">
        <f>C98+93041+337531+146111-18004440.2</f>
        <v>-21689019.199999999</v>
      </c>
      <c r="E98" s="4">
        <f>-18222833.9</f>
        <v>-18222833.899999999</v>
      </c>
      <c r="F98" s="4">
        <v>-50966478</v>
      </c>
      <c r="G98" s="4">
        <f t="shared" si="32"/>
        <v>3466185.3000000007</v>
      </c>
      <c r="H98" s="38"/>
      <c r="I98" s="38"/>
      <c r="J98" s="61"/>
      <c r="K98" s="58"/>
      <c r="L98" s="58"/>
      <c r="M98" s="58"/>
      <c r="N98" s="58"/>
      <c r="O98" s="58"/>
    </row>
    <row r="99" spans="1:15" ht="15.75" x14ac:dyDescent="0.25">
      <c r="A99" s="45"/>
      <c r="B99" s="46" t="s">
        <v>9</v>
      </c>
      <c r="C99" s="4">
        <v>-3841440</v>
      </c>
      <c r="D99" s="4">
        <f>C99+93041+337531-16487739.14</f>
        <v>-19898607.140000001</v>
      </c>
      <c r="E99" s="4">
        <f>-16921889.16</f>
        <v>-16921889.16</v>
      </c>
      <c r="F99" s="4">
        <v>-30575440.620000001</v>
      </c>
      <c r="G99" s="4">
        <f t="shared" si="32"/>
        <v>2976717.9800000004</v>
      </c>
      <c r="H99" s="38"/>
      <c r="I99" s="38"/>
      <c r="J99" s="62"/>
      <c r="K99" s="58"/>
      <c r="L99" s="58"/>
      <c r="M99" s="58"/>
      <c r="N99" s="58"/>
      <c r="O99" s="58"/>
    </row>
    <row r="100" spans="1:15" s="31" customFormat="1" ht="15.75" x14ac:dyDescent="0.25">
      <c r="A100" s="83" t="s">
        <v>52</v>
      </c>
      <c r="B100" s="78"/>
      <c r="C100" s="79">
        <v>-6597380</v>
      </c>
      <c r="D100" s="79">
        <f>C100+338181+10238+499349-980634.18</f>
        <v>-6730246.1799999997</v>
      </c>
      <c r="E100" s="79">
        <v>-8590211.2799999993</v>
      </c>
      <c r="F100" s="79">
        <v>-12996397.529999999</v>
      </c>
      <c r="G100" s="79">
        <f>E100-D100</f>
        <v>-1859965.0999999996</v>
      </c>
      <c r="H100" s="39"/>
      <c r="I100" s="39"/>
      <c r="J100" s="59"/>
      <c r="K100" s="60"/>
      <c r="L100" s="60"/>
      <c r="M100" s="60"/>
      <c r="N100" s="60"/>
      <c r="O100" s="60"/>
    </row>
    <row r="101" spans="1:15" s="31" customFormat="1" ht="15.75" x14ac:dyDescent="0.25">
      <c r="A101" s="78" t="s">
        <v>13</v>
      </c>
      <c r="B101" s="78"/>
      <c r="C101" s="79">
        <v>-7821951</v>
      </c>
      <c r="D101" s="79">
        <f>C101-3772325-1840000-910000+3701264-515662-15349570.84</f>
        <v>-26508244.84</v>
      </c>
      <c r="E101" s="79">
        <f>-15015897.88-2983149.1</f>
        <v>-17999046.98</v>
      </c>
      <c r="F101" s="79">
        <f>-15370318.52-3003089.8</f>
        <v>-18373408.32</v>
      </c>
      <c r="G101" s="79">
        <f>E101-D101</f>
        <v>8509197.8599999994</v>
      </c>
      <c r="H101" s="39"/>
      <c r="I101" s="39"/>
      <c r="J101" s="57"/>
      <c r="K101" s="60"/>
      <c r="L101" s="60"/>
      <c r="M101" s="60"/>
      <c r="N101" s="60"/>
      <c r="O101" s="60"/>
    </row>
    <row r="102" spans="1:15" ht="15.75" x14ac:dyDescent="0.25">
      <c r="A102" s="45"/>
      <c r="B102" s="46" t="s">
        <v>9</v>
      </c>
      <c r="C102" s="4">
        <v>-3554000</v>
      </c>
      <c r="D102" s="4">
        <f>C102-3772325-1840000-910000-515662</f>
        <v>-10591987</v>
      </c>
      <c r="E102" s="4">
        <v>-6507058.4199999999</v>
      </c>
      <c r="F102" s="4">
        <v>-8550746.25</v>
      </c>
      <c r="G102" s="4">
        <f t="shared" ref="G102:G103" si="33">E102-D102</f>
        <v>4084928.58</v>
      </c>
      <c r="J102" s="62"/>
      <c r="K102" s="58"/>
      <c r="L102" s="58"/>
      <c r="M102" s="58"/>
      <c r="N102" s="58"/>
      <c r="O102" s="58"/>
    </row>
    <row r="103" spans="1:15" ht="15.75" x14ac:dyDescent="0.25">
      <c r="A103" s="45"/>
      <c r="B103" s="46" t="s">
        <v>64</v>
      </c>
      <c r="C103" s="4">
        <v>-1166897</v>
      </c>
      <c r="D103" s="4">
        <f>C103+600210-1773834.29</f>
        <v>-2340521.29</v>
      </c>
      <c r="E103" s="4">
        <v>-2983149.1</v>
      </c>
      <c r="F103" s="4">
        <v>-3003089.8</v>
      </c>
      <c r="G103" s="4">
        <f t="shared" si="33"/>
        <v>-642627.81000000006</v>
      </c>
      <c r="J103" s="62"/>
      <c r="K103" s="58"/>
      <c r="L103" s="58"/>
      <c r="M103" s="58"/>
      <c r="N103" s="58"/>
      <c r="O103" s="58"/>
    </row>
    <row r="104" spans="1:15" ht="15.75" x14ac:dyDescent="0.25">
      <c r="A104" s="85" t="s">
        <v>14</v>
      </c>
      <c r="B104" s="85"/>
      <c r="C104" s="79"/>
      <c r="D104" s="79"/>
      <c r="E104" s="79">
        <f>SUM(E105:E118)</f>
        <v>5136876516.8600006</v>
      </c>
      <c r="F104" s="79">
        <f>SUM(F105:F118)</f>
        <v>4547248773.8900003</v>
      </c>
      <c r="G104" s="79"/>
      <c r="J104" s="64"/>
      <c r="K104" s="58"/>
      <c r="L104" s="58"/>
      <c r="M104" s="60"/>
      <c r="N104" s="60"/>
      <c r="O104" s="58"/>
    </row>
    <row r="105" spans="1:15" ht="15.75" x14ac:dyDescent="0.25">
      <c r="A105" s="53"/>
      <c r="B105" s="54" t="s">
        <v>4</v>
      </c>
      <c r="C105" s="4">
        <v>0</v>
      </c>
      <c r="D105" s="4">
        <v>0</v>
      </c>
      <c r="E105" s="4">
        <f>4908132196.49+3914856.3</f>
        <v>4912047052.79</v>
      </c>
      <c r="F105" s="4">
        <f>4568400815.7+3648945.36-47934.81</f>
        <v>4572001826.249999</v>
      </c>
      <c r="G105" s="4">
        <v>0</v>
      </c>
      <c r="J105" s="65"/>
      <c r="K105" s="58"/>
      <c r="L105" s="58"/>
      <c r="M105" s="58"/>
      <c r="N105" s="58"/>
      <c r="O105" s="58"/>
    </row>
    <row r="106" spans="1:15" ht="15.75" x14ac:dyDescent="0.25">
      <c r="A106" s="45"/>
      <c r="B106" s="54" t="s">
        <v>17</v>
      </c>
      <c r="C106" s="4">
        <v>0</v>
      </c>
      <c r="D106" s="4">
        <v>0</v>
      </c>
      <c r="E106" s="4">
        <f>95462.84</f>
        <v>95462.84</v>
      </c>
      <c r="F106" s="4">
        <v>0</v>
      </c>
      <c r="G106" s="4">
        <v>0</v>
      </c>
      <c r="J106" s="65"/>
      <c r="K106" s="58"/>
      <c r="L106" s="58"/>
      <c r="M106" s="58"/>
      <c r="N106" s="58"/>
      <c r="O106" s="58"/>
    </row>
    <row r="107" spans="1:15" ht="15.75" x14ac:dyDescent="0.25">
      <c r="A107" s="45"/>
      <c r="B107" s="54" t="s">
        <v>18</v>
      </c>
      <c r="C107" s="4">
        <v>0</v>
      </c>
      <c r="D107" s="4">
        <v>0</v>
      </c>
      <c r="E107" s="4">
        <v>-5655928</v>
      </c>
      <c r="F107" s="4">
        <f>-2345947446.55+2343276366.36-2076244.06+47934.81</f>
        <v>-4699389.4400000582</v>
      </c>
      <c r="G107" s="4">
        <v>0</v>
      </c>
      <c r="J107" s="65"/>
      <c r="K107" s="58"/>
      <c r="L107" s="58"/>
      <c r="M107" s="58"/>
      <c r="N107" s="58"/>
      <c r="O107" s="58"/>
    </row>
    <row r="108" spans="1:15" ht="15.75" x14ac:dyDescent="0.25">
      <c r="A108" s="45"/>
      <c r="B108" s="54" t="s">
        <v>29</v>
      </c>
      <c r="C108" s="4">
        <v>0</v>
      </c>
      <c r="D108" s="4">
        <v>0</v>
      </c>
      <c r="E108" s="4">
        <v>-79995127</v>
      </c>
      <c r="F108" s="4">
        <v>-68873464.239999995</v>
      </c>
      <c r="G108" s="4">
        <v>0</v>
      </c>
      <c r="J108" s="65"/>
      <c r="K108" s="58"/>
      <c r="L108" s="58"/>
      <c r="M108" s="58"/>
      <c r="N108" s="58"/>
      <c r="O108" s="58"/>
    </row>
    <row r="109" spans="1:15" ht="15.75" x14ac:dyDescent="0.25">
      <c r="A109" s="45"/>
      <c r="B109" s="54" t="s">
        <v>21</v>
      </c>
      <c r="C109" s="4">
        <v>0</v>
      </c>
      <c r="D109" s="4">
        <v>0</v>
      </c>
      <c r="E109" s="4">
        <v>891647.59</v>
      </c>
      <c r="F109" s="4">
        <v>720858.43</v>
      </c>
      <c r="G109" s="4">
        <v>0</v>
      </c>
      <c r="J109" s="65"/>
      <c r="K109" s="58"/>
      <c r="L109" s="58"/>
      <c r="M109" s="58"/>
      <c r="N109" s="58"/>
      <c r="O109" s="58"/>
    </row>
    <row r="110" spans="1:15" ht="15.75" x14ac:dyDescent="0.25">
      <c r="A110" s="45"/>
      <c r="B110" s="54" t="s">
        <v>56</v>
      </c>
      <c r="C110" s="4">
        <v>0</v>
      </c>
      <c r="D110" s="4">
        <v>0</v>
      </c>
      <c r="E110" s="4">
        <f>-557090.04-1428308.55</f>
        <v>-1985398.59</v>
      </c>
      <c r="F110" s="4">
        <f>-171467.56-532639.81</f>
        <v>-704107.37000000011</v>
      </c>
      <c r="G110" s="4">
        <v>0</v>
      </c>
      <c r="J110" s="65"/>
      <c r="K110" s="58"/>
      <c r="L110" s="58"/>
      <c r="M110" s="58"/>
      <c r="N110" s="58"/>
      <c r="O110" s="58"/>
    </row>
    <row r="111" spans="1:15" ht="15.75" x14ac:dyDescent="0.25">
      <c r="A111" s="45"/>
      <c r="B111" s="54" t="s">
        <v>57</v>
      </c>
      <c r="C111" s="4">
        <v>0</v>
      </c>
      <c r="D111" s="4">
        <v>0</v>
      </c>
      <c r="E111" s="4">
        <v>1428308.55</v>
      </c>
      <c r="F111" s="4">
        <v>532639.81000000006</v>
      </c>
      <c r="G111" s="4">
        <v>0</v>
      </c>
      <c r="J111" s="65"/>
      <c r="K111" s="58"/>
      <c r="L111" s="58"/>
      <c r="M111" s="58"/>
      <c r="N111" s="58"/>
      <c r="O111" s="58"/>
    </row>
    <row r="112" spans="1:15" ht="15.75" x14ac:dyDescent="0.25">
      <c r="A112" s="45"/>
      <c r="B112" s="54" t="s">
        <v>10</v>
      </c>
      <c r="C112" s="4">
        <v>0</v>
      </c>
      <c r="D112" s="4">
        <v>0</v>
      </c>
      <c r="E112" s="4">
        <v>0</v>
      </c>
      <c r="F112" s="4">
        <v>-118641.65</v>
      </c>
      <c r="G112" s="4">
        <v>0</v>
      </c>
      <c r="J112" s="65"/>
      <c r="K112" s="58"/>
      <c r="L112" s="58"/>
      <c r="M112" s="58"/>
      <c r="N112" s="58"/>
      <c r="O112" s="58"/>
    </row>
    <row r="113" spans="1:15" ht="15.75" x14ac:dyDescent="0.25">
      <c r="A113" s="45"/>
      <c r="B113" s="54" t="s">
        <v>19</v>
      </c>
      <c r="C113" s="4">
        <v>0</v>
      </c>
      <c r="D113" s="4">
        <v>0</v>
      </c>
      <c r="E113" s="4">
        <v>54913.65</v>
      </c>
      <c r="F113" s="4">
        <v>1034.1099999999999</v>
      </c>
      <c r="G113" s="4">
        <v>0</v>
      </c>
      <c r="J113" s="65"/>
      <c r="K113" s="58"/>
      <c r="L113" s="58"/>
      <c r="M113" s="58"/>
      <c r="N113" s="58"/>
      <c r="O113" s="58"/>
    </row>
    <row r="114" spans="1:15" ht="15.75" x14ac:dyDescent="0.25">
      <c r="A114" s="45"/>
      <c r="B114" s="54" t="s">
        <v>20</v>
      </c>
      <c r="C114" s="4">
        <v>0</v>
      </c>
      <c r="D114" s="4">
        <v>0</v>
      </c>
      <c r="E114" s="4">
        <v>-54913.65</v>
      </c>
      <c r="F114" s="4">
        <v>-1034.1099999999999</v>
      </c>
      <c r="G114" s="4">
        <v>0</v>
      </c>
      <c r="J114" s="65"/>
      <c r="K114" s="58"/>
      <c r="L114" s="58"/>
      <c r="M114" s="58"/>
      <c r="N114" s="58"/>
      <c r="O114" s="58"/>
    </row>
    <row r="115" spans="1:15" ht="15.75" x14ac:dyDescent="0.25">
      <c r="A115" s="45"/>
      <c r="B115" s="54" t="s">
        <v>91</v>
      </c>
      <c r="C115" s="4">
        <v>0</v>
      </c>
      <c r="D115" s="4">
        <v>0</v>
      </c>
      <c r="E115" s="4">
        <v>0</v>
      </c>
      <c r="F115" s="4">
        <v>-21590994.420000002</v>
      </c>
      <c r="G115" s="4">
        <v>0</v>
      </c>
      <c r="J115" s="65"/>
      <c r="K115" s="58"/>
      <c r="L115" s="58"/>
      <c r="M115" s="58"/>
      <c r="N115" s="58"/>
      <c r="O115" s="58"/>
    </row>
    <row r="116" spans="1:15" ht="15.75" x14ac:dyDescent="0.25">
      <c r="A116" s="45"/>
      <c r="B116" s="54" t="s">
        <v>55</v>
      </c>
      <c r="C116" s="4">
        <v>0</v>
      </c>
      <c r="D116" s="4">
        <v>0</v>
      </c>
      <c r="E116" s="4">
        <v>270482354.94999999</v>
      </c>
      <c r="F116" s="4">
        <v>24358066.390000001</v>
      </c>
      <c r="G116" s="4">
        <v>0</v>
      </c>
      <c r="J116" s="65"/>
      <c r="K116" s="58"/>
      <c r="L116" s="58"/>
      <c r="M116" s="58"/>
      <c r="N116" s="58"/>
      <c r="O116" s="58"/>
    </row>
    <row r="117" spans="1:15" ht="15.75" x14ac:dyDescent="0.25">
      <c r="A117" s="45"/>
      <c r="B117" s="54" t="s">
        <v>30</v>
      </c>
      <c r="C117" s="4">
        <v>0</v>
      </c>
      <c r="D117" s="4">
        <v>0</v>
      </c>
      <c r="E117" s="4">
        <v>-67725261</v>
      </c>
      <c r="F117" s="4">
        <v>-42851641</v>
      </c>
      <c r="G117" s="4">
        <v>0</v>
      </c>
      <c r="J117" s="65"/>
      <c r="K117" s="58"/>
      <c r="L117" s="58"/>
      <c r="M117" s="58"/>
      <c r="N117" s="58"/>
      <c r="O117" s="58"/>
    </row>
    <row r="118" spans="1:15" ht="15.75" x14ac:dyDescent="0.25">
      <c r="A118" s="45"/>
      <c r="B118" s="54" t="s">
        <v>31</v>
      </c>
      <c r="C118" s="4">
        <v>0</v>
      </c>
      <c r="D118" s="4">
        <v>0</v>
      </c>
      <c r="E118" s="4">
        <f>378447245.56-270482354.95-678839.81+7353.93</f>
        <v>107293404.73000002</v>
      </c>
      <c r="F118" s="4">
        <v>88473621.129999995</v>
      </c>
      <c r="G118" s="4">
        <v>0</v>
      </c>
      <c r="J118" s="65"/>
      <c r="K118" s="58"/>
      <c r="L118" s="58"/>
      <c r="M118" s="58"/>
      <c r="N118" s="58"/>
      <c r="O118" s="58"/>
    </row>
    <row r="119" spans="1:15" ht="15.75" x14ac:dyDescent="0.25">
      <c r="A119" s="86"/>
      <c r="B119" s="87" t="s">
        <v>15</v>
      </c>
      <c r="C119" s="82"/>
      <c r="D119" s="88"/>
      <c r="E119" s="89">
        <v>-2170294861.5799999</v>
      </c>
      <c r="F119" s="89">
        <v>-2151939846.1700001</v>
      </c>
      <c r="G119" s="90"/>
      <c r="J119" s="66"/>
      <c r="K119" s="58"/>
      <c r="L119" s="58"/>
      <c r="M119" s="58"/>
      <c r="N119" s="58"/>
      <c r="O119" s="58"/>
    </row>
    <row r="120" spans="1:15" ht="15.75" x14ac:dyDescent="0.25">
      <c r="A120" s="86"/>
      <c r="B120" s="87" t="s">
        <v>123</v>
      </c>
      <c r="C120" s="82"/>
      <c r="D120" s="88"/>
      <c r="E120" s="89">
        <v>-2170294862.3499999</v>
      </c>
      <c r="F120" s="89">
        <v>-2151939846.0900002</v>
      </c>
      <c r="G120" s="90"/>
      <c r="J120" s="66"/>
      <c r="K120" s="58"/>
      <c r="L120" s="58"/>
      <c r="M120" s="58"/>
      <c r="N120" s="58"/>
      <c r="O120" s="5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AR30"/>
  <sheetViews>
    <sheetView topLeftCell="A3" workbookViewId="0">
      <pane xSplit="1" ySplit="4" topLeftCell="B19" activePane="bottomRight" state="frozen"/>
      <selection activeCell="A3" sqref="A3"/>
      <selection pane="topRight" activeCell="B3" sqref="B3"/>
      <selection pane="bottomLeft" activeCell="A7" sqref="A7"/>
      <selection pane="bottomRight" activeCell="AP14" sqref="AP14"/>
    </sheetView>
  </sheetViews>
  <sheetFormatPr defaultRowHeight="15" x14ac:dyDescent="0.25"/>
  <cols>
    <col min="1" max="1" width="66" customWidth="1"/>
    <col min="2" max="2" width="0" hidden="1" customWidth="1"/>
    <col min="3" max="3" width="10.42578125" hidden="1" customWidth="1"/>
    <col min="4" max="12" width="0" hidden="1" customWidth="1"/>
    <col min="13" max="13" width="10.140625" hidden="1" customWidth="1"/>
    <col min="14" max="14" width="10.7109375" hidden="1" customWidth="1"/>
    <col min="15" max="15" width="12.85546875" hidden="1" customWidth="1"/>
    <col min="16" max="16" width="0" hidden="1" customWidth="1"/>
    <col min="17" max="17" width="10.7109375" hidden="1" customWidth="1"/>
    <col min="18" max="18" width="12.42578125" hidden="1" customWidth="1"/>
    <col min="19" max="19" width="0" hidden="1" customWidth="1"/>
    <col min="20" max="20" width="10" hidden="1" customWidth="1"/>
    <col min="21" max="21" width="12.85546875" hidden="1" customWidth="1"/>
    <col min="22" max="22" width="12.28515625" hidden="1" customWidth="1"/>
    <col min="23" max="23" width="12.85546875" hidden="1" customWidth="1"/>
    <col min="24" max="24" width="10.42578125" hidden="1" customWidth="1"/>
    <col min="25" max="25" width="0" hidden="1" customWidth="1"/>
    <col min="26" max="26" width="12.42578125" hidden="1" customWidth="1"/>
    <col min="27" max="27" width="11.42578125" hidden="1" customWidth="1"/>
    <col min="28" max="28" width="13.28515625" hidden="1" customWidth="1"/>
    <col min="29" max="30" width="11.85546875" hidden="1" customWidth="1"/>
    <col min="31" max="32" width="11.140625" hidden="1" customWidth="1"/>
    <col min="33" max="33" width="13.42578125" hidden="1" customWidth="1"/>
    <col min="34" max="34" width="11.7109375" hidden="1" customWidth="1"/>
    <col min="35" max="36" width="11" hidden="1" customWidth="1"/>
    <col min="37" max="37" width="12.140625" hidden="1" customWidth="1"/>
    <col min="38" max="38" width="22.140625" customWidth="1"/>
    <col min="39" max="39" width="14" customWidth="1"/>
  </cols>
  <sheetData>
    <row r="1" spans="1:44" x14ac:dyDescent="0.25">
      <c r="A1" s="7" t="s">
        <v>32</v>
      </c>
      <c r="B1" s="8"/>
      <c r="C1" s="8"/>
      <c r="O1" s="1"/>
      <c r="P1" s="1"/>
      <c r="AH1" s="13"/>
      <c r="AI1" s="13"/>
      <c r="AL1" s="1"/>
    </row>
    <row r="2" spans="1:44" x14ac:dyDescent="0.25">
      <c r="A2" s="7" t="s">
        <v>41</v>
      </c>
      <c r="B2" s="8"/>
      <c r="C2" s="8"/>
      <c r="O2" s="13"/>
      <c r="P2" s="13"/>
      <c r="AE2" s="1"/>
      <c r="AF2" s="1"/>
      <c r="AH2" s="1"/>
      <c r="AI2" s="1"/>
      <c r="AJ2" s="1"/>
      <c r="AK2" s="17"/>
      <c r="AM2" s="1"/>
    </row>
    <row r="3" spans="1:44" x14ac:dyDescent="0.25">
      <c r="A3" s="18"/>
      <c r="B3" s="8"/>
      <c r="C3" s="8"/>
      <c r="O3" s="8"/>
      <c r="P3" s="8"/>
      <c r="R3" s="19"/>
      <c r="S3" s="19"/>
      <c r="W3" s="17"/>
      <c r="X3" s="17"/>
      <c r="Z3" s="20"/>
      <c r="AE3" s="1"/>
      <c r="AF3" s="1"/>
      <c r="AG3" s="13"/>
      <c r="AH3" s="9"/>
      <c r="AI3" s="9"/>
      <c r="AM3" s="17"/>
    </row>
    <row r="4" spans="1:44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52">
        <f>11865756.23-11614941.8</f>
        <v>250814.4299999997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44" x14ac:dyDescent="0.25">
      <c r="A5" s="18" t="s">
        <v>0</v>
      </c>
      <c r="B5" s="8">
        <v>1</v>
      </c>
      <c r="C5" s="8">
        <v>1</v>
      </c>
      <c r="D5" s="8">
        <v>2</v>
      </c>
      <c r="E5" s="8">
        <v>2</v>
      </c>
      <c r="F5" s="8">
        <v>3</v>
      </c>
      <c r="G5" s="8">
        <v>3</v>
      </c>
      <c r="H5" s="8">
        <v>4</v>
      </c>
      <c r="I5" s="8">
        <v>4</v>
      </c>
      <c r="J5" s="8">
        <v>5</v>
      </c>
      <c r="K5" s="8">
        <v>5</v>
      </c>
      <c r="L5" s="8">
        <v>6</v>
      </c>
      <c r="M5" s="8">
        <v>6</v>
      </c>
      <c r="N5">
        <v>7</v>
      </c>
      <c r="O5">
        <v>7</v>
      </c>
      <c r="P5" s="8">
        <v>7</v>
      </c>
      <c r="Q5">
        <v>8</v>
      </c>
      <c r="R5">
        <v>8</v>
      </c>
      <c r="S5">
        <v>8</v>
      </c>
      <c r="T5">
        <v>9</v>
      </c>
      <c r="U5">
        <v>9</v>
      </c>
      <c r="V5">
        <v>10</v>
      </c>
      <c r="W5">
        <v>10</v>
      </c>
      <c r="X5">
        <v>10</v>
      </c>
      <c r="Y5" s="21">
        <v>11</v>
      </c>
      <c r="Z5" s="21">
        <v>11</v>
      </c>
      <c r="AA5" s="21">
        <v>12</v>
      </c>
      <c r="AB5" s="21">
        <v>12</v>
      </c>
      <c r="AC5" s="21">
        <v>12</v>
      </c>
      <c r="AD5" s="21">
        <v>13</v>
      </c>
      <c r="AE5" s="21">
        <v>13</v>
      </c>
      <c r="AF5" s="21">
        <v>13</v>
      </c>
      <c r="AG5" s="21">
        <v>14</v>
      </c>
      <c r="AH5" s="21">
        <v>14</v>
      </c>
      <c r="AI5" s="21">
        <v>14</v>
      </c>
      <c r="AJ5" s="21">
        <v>15</v>
      </c>
      <c r="AK5" s="21">
        <v>15</v>
      </c>
      <c r="AL5" s="21"/>
      <c r="AM5" s="21"/>
    </row>
    <row r="6" spans="1:44" ht="38.25" x14ac:dyDescent="0.25">
      <c r="A6" s="91"/>
      <c r="B6" s="95" t="s">
        <v>42</v>
      </c>
      <c r="C6" s="95" t="s">
        <v>67</v>
      </c>
      <c r="D6" s="95" t="s">
        <v>42</v>
      </c>
      <c r="E6" s="95" t="s">
        <v>67</v>
      </c>
      <c r="F6" s="95" t="s">
        <v>42</v>
      </c>
      <c r="G6" s="95" t="s">
        <v>67</v>
      </c>
      <c r="H6" s="95" t="s">
        <v>42</v>
      </c>
      <c r="I6" s="95" t="s">
        <v>67</v>
      </c>
      <c r="J6" s="95" t="s">
        <v>42</v>
      </c>
      <c r="K6" s="95" t="s">
        <v>67</v>
      </c>
      <c r="L6" s="95" t="s">
        <v>42</v>
      </c>
      <c r="M6" s="95" t="s">
        <v>67</v>
      </c>
      <c r="N6" s="95" t="s">
        <v>42</v>
      </c>
      <c r="O6" s="95" t="s">
        <v>67</v>
      </c>
      <c r="P6" s="95" t="s">
        <v>43</v>
      </c>
      <c r="Q6" s="95" t="s">
        <v>42</v>
      </c>
      <c r="R6" s="95" t="s">
        <v>67</v>
      </c>
      <c r="S6" s="95" t="s">
        <v>43</v>
      </c>
      <c r="T6" s="95" t="s">
        <v>42</v>
      </c>
      <c r="U6" s="95" t="s">
        <v>67</v>
      </c>
      <c r="V6" s="95" t="s">
        <v>42</v>
      </c>
      <c r="W6" s="95" t="s">
        <v>67</v>
      </c>
      <c r="X6" s="95" t="s">
        <v>43</v>
      </c>
      <c r="Y6" s="95" t="s">
        <v>42</v>
      </c>
      <c r="Z6" s="95" t="s">
        <v>67</v>
      </c>
      <c r="AA6" s="95" t="s">
        <v>42</v>
      </c>
      <c r="AB6" s="95" t="s">
        <v>67</v>
      </c>
      <c r="AC6" s="95" t="s">
        <v>43</v>
      </c>
      <c r="AD6" s="95" t="s">
        <v>42</v>
      </c>
      <c r="AE6" s="95" t="s">
        <v>67</v>
      </c>
      <c r="AF6" s="95" t="s">
        <v>43</v>
      </c>
      <c r="AG6" s="95" t="s">
        <v>42</v>
      </c>
      <c r="AH6" s="95" t="s">
        <v>67</v>
      </c>
      <c r="AI6" s="95" t="s">
        <v>43</v>
      </c>
      <c r="AJ6" s="95" t="s">
        <v>42</v>
      </c>
      <c r="AK6" s="95" t="s">
        <v>67</v>
      </c>
      <c r="AL6" s="95" t="s">
        <v>42</v>
      </c>
      <c r="AM6" s="95" t="s">
        <v>67</v>
      </c>
    </row>
    <row r="7" spans="1:44" x14ac:dyDescent="0.25">
      <c r="A7" s="22" t="s">
        <v>44</v>
      </c>
      <c r="B7" s="23" t="e">
        <f>aruanne!#REF!</f>
        <v>#REF!</v>
      </c>
      <c r="C7" s="23" t="e">
        <f>aruanne!#REF!+aruanne!#REF!</f>
        <v>#REF!</v>
      </c>
      <c r="D7" s="23" t="e">
        <f>aruanne!#REF!</f>
        <v>#REF!</v>
      </c>
      <c r="E7" s="23" t="e">
        <f>aruanne!#REF!+aruanne!#REF!</f>
        <v>#REF!</v>
      </c>
      <c r="F7" s="23" t="e">
        <f>aruanne!#REF!</f>
        <v>#REF!</v>
      </c>
      <c r="G7" s="23" t="e">
        <f>aruanne!#REF!+aruanne!#REF!</f>
        <v>#REF!</v>
      </c>
      <c r="H7" s="23">
        <v>0</v>
      </c>
      <c r="I7" s="23" t="e">
        <f>aruanne!#REF!</f>
        <v>#REF!</v>
      </c>
      <c r="J7" s="23" t="e">
        <f>aruanne!#REF!</f>
        <v>#REF!</v>
      </c>
      <c r="K7" s="23" t="e">
        <f>aruanne!#REF!+aruanne!#REF!</f>
        <v>#REF!</v>
      </c>
      <c r="L7" s="16" t="e">
        <f>aruanne!#REF!</f>
        <v>#REF!</v>
      </c>
      <c r="M7" s="16" t="e">
        <f>aruanne!#REF!+aruanne!#REF!</f>
        <v>#REF!</v>
      </c>
      <c r="N7" s="16" t="e">
        <f>aruanne!#REF!</f>
        <v>#REF!</v>
      </c>
      <c r="O7" s="16" t="e">
        <f>aruanne!#REF!+aruanne!#REF!</f>
        <v>#REF!</v>
      </c>
      <c r="P7" s="16" t="e">
        <f>aruanne!#REF!</f>
        <v>#REF!</v>
      </c>
      <c r="Q7" s="16" t="e">
        <f>aruanne!#REF!</f>
        <v>#REF!</v>
      </c>
      <c r="R7" s="16" t="e">
        <f>aruanne!#REF!+aruanne!#REF!</f>
        <v>#REF!</v>
      </c>
      <c r="S7" s="16" t="e">
        <f>aruanne!#REF!</f>
        <v>#REF!</v>
      </c>
      <c r="T7" s="23" t="e">
        <f>aruanne!#REF!</f>
        <v>#REF!</v>
      </c>
      <c r="U7" s="23" t="e">
        <f>aruanne!#REF!+aruanne!#REF!</f>
        <v>#REF!</v>
      </c>
      <c r="V7" s="23" t="e">
        <f>aruanne!#REF!</f>
        <v>#REF!</v>
      </c>
      <c r="W7" s="23" t="e">
        <f>aruanne!#REF!+aruanne!#REF!</f>
        <v>#REF!</v>
      </c>
      <c r="X7" s="23" t="e">
        <f>aruanne!#REF!</f>
        <v>#REF!</v>
      </c>
      <c r="Y7" s="16" t="e">
        <f>aruanne!#REF!</f>
        <v>#REF!</v>
      </c>
      <c r="Z7" s="16" t="e">
        <f>aruanne!#REF!+aruanne!#REF!</f>
        <v>#REF!</v>
      </c>
      <c r="AA7" s="23" t="e">
        <f>aruanne!#REF!</f>
        <v>#REF!</v>
      </c>
      <c r="AB7" s="23" t="e">
        <f>aruanne!#REF!+aruanne!#REF!</f>
        <v>#REF!</v>
      </c>
      <c r="AC7" s="23" t="e">
        <f>aruanne!#REF!</f>
        <v>#REF!</v>
      </c>
      <c r="AD7" s="23" t="e">
        <f>aruanne!#REF!</f>
        <v>#REF!</v>
      </c>
      <c r="AE7" s="23" t="e">
        <f>aruanne!#REF!+aruanne!#REF!</f>
        <v>#REF!</v>
      </c>
      <c r="AF7" s="23" t="e">
        <f>aruanne!#REF!</f>
        <v>#REF!</v>
      </c>
      <c r="AG7" s="23" t="e">
        <f>aruanne!#REF!</f>
        <v>#REF!</v>
      </c>
      <c r="AH7" s="23" t="e">
        <f>aruanne!#REF!+aruanne!#REF!</f>
        <v>#REF!</v>
      </c>
      <c r="AI7" s="23" t="e">
        <f>aruanne!#REF!</f>
        <v>#REF!</v>
      </c>
      <c r="AJ7" s="16" t="e">
        <f>aruanne!#REF!</f>
        <v>#REF!</v>
      </c>
      <c r="AK7" s="16" t="e">
        <f>aruanne!#REF!+aruanne!#REF!</f>
        <v>#REF!</v>
      </c>
      <c r="AL7" s="23">
        <v>174288355</v>
      </c>
      <c r="AM7" s="23">
        <v>-7930495471</v>
      </c>
    </row>
    <row r="8" spans="1:44" x14ac:dyDescent="0.25">
      <c r="A8" s="22" t="s">
        <v>45</v>
      </c>
      <c r="B8" s="23"/>
      <c r="C8" s="24" t="e">
        <f>#REF!*-1</f>
        <v>#REF!</v>
      </c>
      <c r="D8" s="23"/>
      <c r="E8" s="23" t="e">
        <f>#REF!*-1</f>
        <v>#REF!</v>
      </c>
      <c r="F8" s="23"/>
      <c r="G8" s="23" t="e">
        <f>#REF!*-1</f>
        <v>#REF!</v>
      </c>
      <c r="H8" s="23"/>
      <c r="I8" s="23" t="e">
        <f>#REF!*-1</f>
        <v>#REF!</v>
      </c>
      <c r="J8" s="23"/>
      <c r="K8" s="23" t="e">
        <f>#REF!*-1</f>
        <v>#REF!</v>
      </c>
      <c r="L8" s="23"/>
      <c r="M8" s="16" t="e">
        <f>#REF!*-1</f>
        <v>#REF!</v>
      </c>
      <c r="N8" s="23"/>
      <c r="O8" s="16" t="e">
        <f>#REF!*-1</f>
        <v>#REF!</v>
      </c>
      <c r="P8" s="16"/>
      <c r="Q8" s="23"/>
      <c r="R8" s="16" t="e">
        <f>#REF!*-1</f>
        <v>#REF!</v>
      </c>
      <c r="S8" s="16"/>
      <c r="T8" s="23"/>
      <c r="U8" s="23" t="e">
        <f>-#REF!</f>
        <v>#REF!</v>
      </c>
      <c r="V8" s="23"/>
      <c r="W8" s="23" t="e">
        <f>#REF!*-1</f>
        <v>#REF!</v>
      </c>
      <c r="X8" s="23"/>
      <c r="Y8" s="16"/>
      <c r="Z8" s="16" t="e">
        <f>#REF!*-1</f>
        <v>#REF!</v>
      </c>
      <c r="AA8" s="23"/>
      <c r="AB8" s="23" t="e">
        <f>#REF!*-1+70300000</f>
        <v>#REF!</v>
      </c>
      <c r="AC8" s="23">
        <v>-70300000</v>
      </c>
      <c r="AD8" s="23"/>
      <c r="AE8" s="23" t="e">
        <f>#REF!*-1</f>
        <v>#REF!</v>
      </c>
      <c r="AF8" s="23"/>
      <c r="AG8" s="23"/>
      <c r="AH8" s="23" t="e">
        <f>#REF!*-1+114000000</f>
        <v>#REF!</v>
      </c>
      <c r="AI8" s="23">
        <v>-114000000</v>
      </c>
      <c r="AJ8" s="23"/>
      <c r="AK8" s="16" t="e">
        <f>#REF!*-1</f>
        <v>#REF!</v>
      </c>
      <c r="AL8" s="23"/>
      <c r="AM8" s="23">
        <v>-101523791.78</v>
      </c>
    </row>
    <row r="9" spans="1:44" x14ac:dyDescent="0.25">
      <c r="A9" s="22" t="s">
        <v>108</v>
      </c>
      <c r="B9" s="23"/>
      <c r="C9" s="24"/>
      <c r="D9" s="23"/>
      <c r="E9" s="23"/>
      <c r="F9" s="23"/>
      <c r="G9" s="23"/>
      <c r="H9" s="23"/>
      <c r="I9" s="23"/>
      <c r="J9" s="23"/>
      <c r="K9" s="23"/>
      <c r="L9" s="23"/>
      <c r="M9" s="16">
        <v>202000</v>
      </c>
      <c r="N9" s="23">
        <v>206030</v>
      </c>
      <c r="O9" s="16">
        <v>-1972545</v>
      </c>
      <c r="P9" s="16"/>
      <c r="Q9" s="23"/>
      <c r="R9" s="16"/>
      <c r="S9" s="16"/>
      <c r="T9" s="23"/>
      <c r="U9" s="23">
        <v>-1590590</v>
      </c>
      <c r="V9" s="23">
        <v>292334060</v>
      </c>
      <c r="W9" s="23">
        <v>-553567236</v>
      </c>
      <c r="X9" s="23">
        <v>-14625000</v>
      </c>
      <c r="Y9" s="16"/>
      <c r="Z9" s="16">
        <v>-72010</v>
      </c>
      <c r="AA9" s="23">
        <v>-282858578</v>
      </c>
      <c r="AB9" s="23">
        <v>163478787</v>
      </c>
      <c r="AC9" s="23">
        <v>12575000</v>
      </c>
      <c r="AD9" s="23">
        <v>38041664</v>
      </c>
      <c r="AE9" s="23">
        <v>-105147206</v>
      </c>
      <c r="AF9" s="23">
        <v>2050000</v>
      </c>
      <c r="AG9" s="23">
        <v>-23435636</v>
      </c>
      <c r="AH9" s="23">
        <v>41216109</v>
      </c>
      <c r="AI9" s="23"/>
      <c r="AJ9" s="23"/>
      <c r="AK9" s="16">
        <v>1585589</v>
      </c>
      <c r="AL9" s="23">
        <v>-24287538</v>
      </c>
      <c r="AM9" s="23">
        <v>455867094</v>
      </c>
    </row>
    <row r="10" spans="1:44" x14ac:dyDescent="0.25">
      <c r="A10" s="22" t="s">
        <v>118</v>
      </c>
      <c r="B10" s="23"/>
      <c r="C10" s="24"/>
      <c r="D10" s="23"/>
      <c r="E10" s="23"/>
      <c r="F10" s="23"/>
      <c r="G10" s="23"/>
      <c r="H10" s="23"/>
      <c r="I10" s="23"/>
      <c r="J10" s="23"/>
      <c r="K10" s="23"/>
      <c r="L10" s="23"/>
      <c r="M10" s="16"/>
      <c r="N10" s="23"/>
      <c r="O10" s="16"/>
      <c r="P10" s="16"/>
      <c r="Q10" s="23"/>
      <c r="R10" s="16"/>
      <c r="S10" s="16"/>
      <c r="T10" s="23"/>
      <c r="U10" s="23"/>
      <c r="V10" s="23"/>
      <c r="W10" s="23">
        <f>-19913628.16+27635.12</f>
        <v>-19885993.039999999</v>
      </c>
      <c r="X10" s="23"/>
      <c r="Y10" s="16"/>
      <c r="Z10" s="16"/>
      <c r="AA10" s="23"/>
      <c r="AB10" s="23">
        <f>19653391.15</f>
        <v>19653391.149999999</v>
      </c>
      <c r="AC10" s="23"/>
      <c r="AD10" s="23"/>
      <c r="AE10" s="23">
        <v>-11346161.52</v>
      </c>
      <c r="AF10" s="23"/>
      <c r="AG10" s="23"/>
      <c r="AH10" s="23">
        <v>11251636.130000001</v>
      </c>
      <c r="AI10" s="23"/>
      <c r="AJ10" s="23"/>
      <c r="AK10" s="16"/>
      <c r="AL10" s="23"/>
      <c r="AM10" s="23">
        <v>327127.28000000003</v>
      </c>
    </row>
    <row r="11" spans="1:44" x14ac:dyDescent="0.25">
      <c r="A11" s="22" t="s">
        <v>117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16"/>
      <c r="N11" s="23"/>
      <c r="O11" s="16">
        <v>-155645.44</v>
      </c>
      <c r="P11" s="16"/>
      <c r="Q11" s="23"/>
      <c r="R11" s="16"/>
      <c r="S11" s="16"/>
      <c r="T11" s="23"/>
      <c r="U11" s="23"/>
      <c r="V11" s="23"/>
      <c r="W11" s="23">
        <v>-119942349.15000001</v>
      </c>
      <c r="X11" s="23"/>
      <c r="Y11" s="16"/>
      <c r="Z11" s="16"/>
      <c r="AA11" s="23"/>
      <c r="AB11" s="23">
        <f>43668739.26+47470707.26+28860000+84511.87</f>
        <v>120083958.39</v>
      </c>
      <c r="AC11" s="23"/>
      <c r="AD11" s="23"/>
      <c r="AE11" s="23">
        <v>-2776035.56</v>
      </c>
      <c r="AF11" s="23"/>
      <c r="AG11" s="23"/>
      <c r="AH11" s="23">
        <v>2633919.25</v>
      </c>
      <c r="AI11" s="23"/>
      <c r="AJ11" s="23"/>
      <c r="AK11" s="16"/>
      <c r="AL11" s="23"/>
      <c r="AM11" s="23">
        <f>156152.51+9443.04+3572.23</f>
        <v>169167.78000000003</v>
      </c>
    </row>
    <row r="12" spans="1:44" x14ac:dyDescent="0.25">
      <c r="A12" s="22" t="s">
        <v>109</v>
      </c>
      <c r="B12" s="23"/>
      <c r="C12" s="23">
        <v>4894500</v>
      </c>
      <c r="D12" s="23"/>
      <c r="E12" s="23"/>
      <c r="F12" s="23"/>
      <c r="G12" s="23"/>
      <c r="H12" s="23"/>
      <c r="I12" s="23"/>
      <c r="J12" s="23"/>
      <c r="K12" s="23">
        <v>6239</v>
      </c>
      <c r="L12" s="23"/>
      <c r="M12" s="16">
        <v>81834</v>
      </c>
      <c r="N12" s="23"/>
      <c r="O12" s="23">
        <v>7140</v>
      </c>
      <c r="P12" s="23"/>
      <c r="Q12" s="16"/>
      <c r="R12" s="16">
        <v>761119</v>
      </c>
      <c r="S12" s="16"/>
      <c r="T12" s="23"/>
      <c r="U12" s="23">
        <v>-24865767</v>
      </c>
      <c r="V12" s="23">
        <v>6030589</v>
      </c>
      <c r="W12" s="23">
        <v>-9817179</v>
      </c>
      <c r="X12" s="23"/>
      <c r="Y12" s="16"/>
      <c r="Z12" s="16">
        <v>69546</v>
      </c>
      <c r="AA12" s="23">
        <v>-6030589</v>
      </c>
      <c r="AB12" s="23">
        <v>14378589</v>
      </c>
      <c r="AC12" s="23"/>
      <c r="AD12" s="23"/>
      <c r="AE12" s="23">
        <v>-5805479</v>
      </c>
      <c r="AF12" s="23"/>
      <c r="AG12" s="23"/>
      <c r="AH12" s="23">
        <v>-515326</v>
      </c>
      <c r="AI12" s="23"/>
      <c r="AJ12" s="16"/>
      <c r="AK12" s="16">
        <v>10006044</v>
      </c>
      <c r="AL12" s="23"/>
      <c r="AM12" s="23">
        <v>807290</v>
      </c>
    </row>
    <row r="13" spans="1:44" x14ac:dyDescent="0.25">
      <c r="A13" s="55" t="s">
        <v>46</v>
      </c>
      <c r="B13" s="23"/>
      <c r="C13" s="23"/>
      <c r="D13" s="23"/>
      <c r="E13" s="23">
        <v>-160226</v>
      </c>
      <c r="F13" s="23"/>
      <c r="G13" s="23"/>
      <c r="H13" s="23"/>
      <c r="I13" s="23"/>
      <c r="J13" s="23"/>
      <c r="K13" s="23"/>
      <c r="L13" s="23"/>
      <c r="M13" s="23">
        <v>-52000</v>
      </c>
      <c r="N13" s="23"/>
      <c r="O13" s="23">
        <v>-56547.06</v>
      </c>
      <c r="P13" s="23"/>
      <c r="Q13" s="16"/>
      <c r="R13" s="16">
        <v>-422280</v>
      </c>
      <c r="S13" s="16"/>
      <c r="T13" s="23"/>
      <c r="U13" s="23">
        <v>-1870000</v>
      </c>
      <c r="V13" s="23"/>
      <c r="W13" s="25">
        <v>-31634985.059999999</v>
      </c>
      <c r="X13" s="25"/>
      <c r="Y13" s="16"/>
      <c r="Z13" s="16">
        <v>-9500861</v>
      </c>
      <c r="AA13" s="23"/>
      <c r="AB13" s="23">
        <v>-14840149.720000001</v>
      </c>
      <c r="AC13" s="23"/>
      <c r="AD13" s="23"/>
      <c r="AE13" s="23">
        <v>-4513864.7</v>
      </c>
      <c r="AF13" s="23"/>
      <c r="AG13" s="23"/>
      <c r="AH13" s="23">
        <v>-4063830.35</v>
      </c>
      <c r="AI13" s="23"/>
      <c r="AJ13" s="16"/>
      <c r="AK13" s="16">
        <v>-22698671</v>
      </c>
      <c r="AL13" s="23"/>
      <c r="AM13" s="23">
        <v>-6785118.6799999997</v>
      </c>
    </row>
    <row r="14" spans="1:44" x14ac:dyDescent="0.25">
      <c r="A14" s="22" t="s">
        <v>47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5952950</v>
      </c>
      <c r="N14" s="23"/>
      <c r="O14" s="23">
        <f>224303563+424300</f>
        <v>224727863</v>
      </c>
      <c r="P14" s="23"/>
      <c r="Q14" s="23"/>
      <c r="R14" s="23">
        <v>3960364</v>
      </c>
      <c r="S14" s="23"/>
      <c r="T14" s="23"/>
      <c r="U14" s="23">
        <v>11802017</v>
      </c>
      <c r="V14" s="25"/>
      <c r="W14" s="25">
        <f>351822482-8775000</f>
        <v>343047482</v>
      </c>
      <c r="X14" s="25">
        <v>8775000</v>
      </c>
      <c r="Y14" s="16"/>
      <c r="Z14" s="23">
        <v>5660888</v>
      </c>
      <c r="AA14" s="23"/>
      <c r="AB14" s="23">
        <v>422574419</v>
      </c>
      <c r="AC14" s="23"/>
      <c r="AD14" s="23"/>
      <c r="AE14" s="23">
        <v>367727590</v>
      </c>
      <c r="AF14" s="23"/>
      <c r="AG14" s="23"/>
      <c r="AH14" s="23">
        <v>55358700</v>
      </c>
      <c r="AI14" s="23"/>
      <c r="AJ14" s="16"/>
      <c r="AK14" s="16">
        <v>23194461</v>
      </c>
      <c r="AL14" s="23"/>
      <c r="AM14" s="23">
        <v>142970489</v>
      </c>
    </row>
    <row r="15" spans="1:44" x14ac:dyDescent="0.25">
      <c r="A15" s="22" t="s">
        <v>48</v>
      </c>
      <c r="B15" s="23"/>
      <c r="C15" s="23">
        <v>-125775</v>
      </c>
      <c r="D15" s="26"/>
      <c r="E15" s="23">
        <f>-126371.12-1142</f>
        <v>-127513.12</v>
      </c>
      <c r="F15" s="23"/>
      <c r="G15" s="23"/>
      <c r="H15" s="23"/>
      <c r="I15" s="23"/>
      <c r="J15" s="23"/>
      <c r="K15" s="23">
        <v>-96502.14</v>
      </c>
      <c r="L15" s="23"/>
      <c r="M15" s="23">
        <v>-8182142.3799999999</v>
      </c>
      <c r="N15" s="23"/>
      <c r="O15" s="23">
        <f>-194400768.3+95971</f>
        <v>-194304797.30000001</v>
      </c>
      <c r="P15" s="23"/>
      <c r="Q15" s="23"/>
      <c r="R15" s="23">
        <f>-10072769.08+1417152.91</f>
        <v>-8655616.1699999999</v>
      </c>
      <c r="S15" s="23"/>
      <c r="T15" s="23"/>
      <c r="U15" s="23">
        <v>-112298490.23999999</v>
      </c>
      <c r="V15" s="23"/>
      <c r="W15" s="25">
        <v>-303554519.88999999</v>
      </c>
      <c r="X15" s="25"/>
      <c r="Y15" s="16"/>
      <c r="Z15" s="23">
        <v>-6665619.2199999997</v>
      </c>
      <c r="AA15" s="23"/>
      <c r="AB15" s="23">
        <f>-299334963.35</f>
        <v>-299334963.35000002</v>
      </c>
      <c r="AC15" s="23"/>
      <c r="AD15" s="23"/>
      <c r="AE15" s="23">
        <v>-341236876.47000003</v>
      </c>
      <c r="AF15" s="23"/>
      <c r="AG15" s="23"/>
      <c r="AH15" s="23">
        <v>-36839942.359999999</v>
      </c>
      <c r="AI15" s="23"/>
      <c r="AJ15" s="16"/>
      <c r="AK15" s="16">
        <v>-33321673.489999998</v>
      </c>
      <c r="AL15" s="23"/>
      <c r="AM15" s="23">
        <f>-175646101.57-9443.04-3572.23</f>
        <v>-175659116.83999997</v>
      </c>
    </row>
    <row r="16" spans="1:44" x14ac:dyDescent="0.25">
      <c r="A16" s="22" t="s">
        <v>58</v>
      </c>
      <c r="B16" s="23"/>
      <c r="C16" s="24"/>
      <c r="D16" s="26"/>
      <c r="E16" s="23"/>
      <c r="F16" s="23"/>
      <c r="G16" s="23"/>
      <c r="H16" s="23"/>
      <c r="I16" s="23"/>
      <c r="J16" s="23"/>
      <c r="K16" s="23"/>
      <c r="L16" s="23"/>
      <c r="M16" s="23">
        <f>8385000-5952950</f>
        <v>2432050</v>
      </c>
      <c r="N16" s="23"/>
      <c r="O16" s="23">
        <f>10281514+253895121-224303563</f>
        <v>39873072</v>
      </c>
      <c r="P16" s="23"/>
      <c r="Q16" s="23"/>
      <c r="R16" s="23">
        <f>5116383-3960364</f>
        <v>1156019</v>
      </c>
      <c r="S16" s="23"/>
      <c r="T16" s="23"/>
      <c r="U16" s="23"/>
      <c r="V16" s="23"/>
      <c r="W16" s="25">
        <f>8035509+374357011-343047482-100000</f>
        <v>39245038</v>
      </c>
      <c r="X16" s="25"/>
      <c r="Y16" s="16"/>
      <c r="Z16" s="23">
        <f>127500+6703697-5660888</f>
        <v>1170309</v>
      </c>
      <c r="AA16" s="23"/>
      <c r="AB16" s="23">
        <f>21201094+433133987-422574419-100000</f>
        <v>31660662</v>
      </c>
      <c r="AC16" s="23"/>
      <c r="AD16" s="23"/>
      <c r="AE16" s="23">
        <f>792480+407594669-367727590</f>
        <v>40659559</v>
      </c>
      <c r="AF16" s="23"/>
      <c r="AG16" s="23"/>
      <c r="AH16" s="23">
        <f>1202956+58715805-55358700</f>
        <v>4560061</v>
      </c>
      <c r="AI16" s="23"/>
      <c r="AJ16" s="16"/>
      <c r="AK16" s="16">
        <f>4789295+23929445-23194461</f>
        <v>5524279</v>
      </c>
      <c r="AL16" s="23"/>
      <c r="AM16" s="23">
        <v>8485043</v>
      </c>
      <c r="AR16" s="23"/>
    </row>
    <row r="17" spans="1:39" x14ac:dyDescent="0.25">
      <c r="A17" s="22" t="s">
        <v>59</v>
      </c>
      <c r="B17" s="23"/>
      <c r="C17" s="24"/>
      <c r="D17" s="26"/>
      <c r="E17" s="26"/>
      <c r="F17" s="23"/>
      <c r="G17" s="23"/>
      <c r="H17" s="23"/>
      <c r="I17" s="23"/>
      <c r="J17" s="23"/>
      <c r="K17" s="23"/>
      <c r="L17" s="23"/>
      <c r="M17" s="23">
        <v>-101863.8</v>
      </c>
      <c r="N17" s="23"/>
      <c r="O17" s="23">
        <v>-18736482.16</v>
      </c>
      <c r="P17" s="23"/>
      <c r="Q17" s="23"/>
      <c r="R17" s="23">
        <v>-317431.78000000003</v>
      </c>
      <c r="S17" s="23"/>
      <c r="T17" s="23"/>
      <c r="U17" s="23">
        <v>-149940.49</v>
      </c>
      <c r="V17" s="23"/>
      <c r="W17" s="25">
        <v>-18959368.890000001</v>
      </c>
      <c r="X17" s="25"/>
      <c r="Y17" s="16"/>
      <c r="Z17" s="23">
        <v>-572610.21</v>
      </c>
      <c r="AA17" s="23"/>
      <c r="AB17" s="23">
        <v>-10053028.85</v>
      </c>
      <c r="AC17" s="23"/>
      <c r="AD17" s="23"/>
      <c r="AE17" s="23">
        <v>-29197628.370000001</v>
      </c>
      <c r="AF17" s="23"/>
      <c r="AG17" s="23"/>
      <c r="AH17" s="23">
        <v>-4348130.51</v>
      </c>
      <c r="AI17" s="23"/>
      <c r="AJ17" s="16"/>
      <c r="AK17" s="16">
        <v>-2106993.83</v>
      </c>
      <c r="AL17" s="23"/>
      <c r="AM17" s="23">
        <v>-5777987.8600000003</v>
      </c>
    </row>
    <row r="18" spans="1:39" x14ac:dyDescent="0.25">
      <c r="A18" s="22" t="s">
        <v>49</v>
      </c>
      <c r="B18" s="23"/>
      <c r="C18" s="23"/>
      <c r="D18" s="24"/>
      <c r="E18" s="24">
        <v>28000</v>
      </c>
      <c r="F18" s="23"/>
      <c r="G18" s="23"/>
      <c r="H18" s="23"/>
      <c r="I18" s="23"/>
      <c r="J18" s="23"/>
      <c r="K18" s="23"/>
      <c r="L18" s="23"/>
      <c r="M18" s="23"/>
      <c r="N18" s="23"/>
      <c r="O18" s="23">
        <v>10171882</v>
      </c>
      <c r="P18" s="23"/>
      <c r="Q18" s="23"/>
      <c r="R18" s="23">
        <f>2935050+633999</f>
        <v>3569049</v>
      </c>
      <c r="S18" s="23"/>
      <c r="T18" s="23"/>
      <c r="U18" s="23">
        <v>31000</v>
      </c>
      <c r="V18" s="23"/>
      <c r="W18" s="25">
        <f>2473500+521181</f>
        <v>2994681</v>
      </c>
      <c r="X18" s="25"/>
      <c r="Y18" s="16"/>
      <c r="Z18" s="23">
        <v>2061757</v>
      </c>
      <c r="AA18" s="23"/>
      <c r="AB18" s="23">
        <f>3007500-526681</f>
        <v>2480819</v>
      </c>
      <c r="AC18" s="23"/>
      <c r="AD18" s="23"/>
      <c r="AE18" s="23">
        <f>8094700+5499</f>
        <v>8100199</v>
      </c>
      <c r="AF18" s="23"/>
      <c r="AG18" s="23"/>
      <c r="AH18" s="23">
        <v>730000</v>
      </c>
      <c r="AI18" s="23"/>
      <c r="AJ18" s="23"/>
      <c r="AK18" s="16">
        <v>3601049</v>
      </c>
      <c r="AL18" s="23"/>
      <c r="AM18" s="23">
        <v>6142326</v>
      </c>
    </row>
    <row r="19" spans="1:39" x14ac:dyDescent="0.25">
      <c r="A19" s="22" t="s">
        <v>50</v>
      </c>
      <c r="B19" s="23"/>
      <c r="C19" s="23">
        <v>-1094.96</v>
      </c>
      <c r="D19" s="24"/>
      <c r="E19" s="24">
        <v>-40172.39</v>
      </c>
      <c r="F19" s="23"/>
      <c r="G19" s="23"/>
      <c r="H19" s="23"/>
      <c r="I19" s="23"/>
      <c r="J19" s="23"/>
      <c r="K19" s="23">
        <v>-3746.09</v>
      </c>
      <c r="L19" s="23"/>
      <c r="M19" s="23"/>
      <c r="N19" s="23"/>
      <c r="O19" s="23">
        <v>-13638553.43</v>
      </c>
      <c r="P19" s="23"/>
      <c r="Q19" s="23"/>
      <c r="R19" s="23">
        <v>-4149536.58</v>
      </c>
      <c r="S19" s="23"/>
      <c r="T19" s="23"/>
      <c r="U19" s="23">
        <v>-267758.69</v>
      </c>
      <c r="V19" s="23"/>
      <c r="W19" s="25">
        <v>-3634085.68</v>
      </c>
      <c r="X19" s="25"/>
      <c r="Y19" s="16"/>
      <c r="Z19" s="23">
        <v>-3122061.45</v>
      </c>
      <c r="AA19" s="23"/>
      <c r="AB19" s="23">
        <v>-8619226.6099999994</v>
      </c>
      <c r="AC19" s="23"/>
      <c r="AD19" s="23"/>
      <c r="AE19" s="23">
        <v>-9027439.7300000004</v>
      </c>
      <c r="AF19" s="23"/>
      <c r="AG19" s="23"/>
      <c r="AH19" s="23">
        <v>-1486391.07</v>
      </c>
      <c r="AI19" s="23"/>
      <c r="AJ19" s="23"/>
      <c r="AK19" s="16">
        <v>-5094966.25</v>
      </c>
      <c r="AL19" s="23"/>
      <c r="AM19" s="23">
        <v>-8937583.8399999999</v>
      </c>
    </row>
    <row r="20" spans="1:39" x14ac:dyDescent="0.25">
      <c r="A20" s="27" t="s">
        <v>51</v>
      </c>
      <c r="B20" s="28" t="e">
        <f t="shared" ref="B20:AK20" si="0">SUM(B7:B19)</f>
        <v>#REF!</v>
      </c>
      <c r="C20" s="28" t="e">
        <f t="shared" si="0"/>
        <v>#REF!</v>
      </c>
      <c r="D20" s="28" t="e">
        <f t="shared" si="0"/>
        <v>#REF!</v>
      </c>
      <c r="E20" s="28" t="e">
        <f t="shared" si="0"/>
        <v>#REF!</v>
      </c>
      <c r="F20" s="28" t="e">
        <f t="shared" si="0"/>
        <v>#REF!</v>
      </c>
      <c r="G20" s="28" t="e">
        <f t="shared" si="0"/>
        <v>#REF!</v>
      </c>
      <c r="H20" s="28">
        <f t="shared" si="0"/>
        <v>0</v>
      </c>
      <c r="I20" s="28" t="e">
        <f t="shared" si="0"/>
        <v>#REF!</v>
      </c>
      <c r="J20" s="28" t="e">
        <f t="shared" si="0"/>
        <v>#REF!</v>
      </c>
      <c r="K20" s="28" t="e">
        <f t="shared" si="0"/>
        <v>#REF!</v>
      </c>
      <c r="L20" s="28" t="e">
        <f t="shared" si="0"/>
        <v>#REF!</v>
      </c>
      <c r="M20" s="28" t="e">
        <f t="shared" si="0"/>
        <v>#REF!</v>
      </c>
      <c r="N20" s="28" t="e">
        <f t="shared" si="0"/>
        <v>#REF!</v>
      </c>
      <c r="O20" s="28" t="e">
        <f t="shared" si="0"/>
        <v>#REF!</v>
      </c>
      <c r="P20" s="28" t="e">
        <f t="shared" si="0"/>
        <v>#REF!</v>
      </c>
      <c r="Q20" s="28" t="e">
        <f t="shared" si="0"/>
        <v>#REF!</v>
      </c>
      <c r="R20" s="28" t="e">
        <f t="shared" si="0"/>
        <v>#REF!</v>
      </c>
      <c r="S20" s="28" t="e">
        <f t="shared" si="0"/>
        <v>#REF!</v>
      </c>
      <c r="T20" s="28" t="e">
        <f t="shared" si="0"/>
        <v>#REF!</v>
      </c>
      <c r="U20" s="28" t="e">
        <f t="shared" si="0"/>
        <v>#REF!</v>
      </c>
      <c r="V20" s="28" t="e">
        <f t="shared" si="0"/>
        <v>#REF!</v>
      </c>
      <c r="W20" s="28" t="e">
        <f t="shared" si="0"/>
        <v>#REF!</v>
      </c>
      <c r="X20" s="28" t="e">
        <f t="shared" si="0"/>
        <v>#REF!</v>
      </c>
      <c r="Y20" s="28" t="e">
        <f t="shared" si="0"/>
        <v>#REF!</v>
      </c>
      <c r="Z20" s="28" t="e">
        <f t="shared" si="0"/>
        <v>#REF!</v>
      </c>
      <c r="AA20" s="28" t="e">
        <f t="shared" si="0"/>
        <v>#REF!</v>
      </c>
      <c r="AB20" s="28" t="e">
        <f t="shared" si="0"/>
        <v>#REF!</v>
      </c>
      <c r="AC20" s="28" t="e">
        <f t="shared" si="0"/>
        <v>#REF!</v>
      </c>
      <c r="AD20" s="28" t="e">
        <f t="shared" si="0"/>
        <v>#REF!</v>
      </c>
      <c r="AE20" s="28" t="e">
        <f t="shared" si="0"/>
        <v>#REF!</v>
      </c>
      <c r="AF20" s="28" t="e">
        <f t="shared" si="0"/>
        <v>#REF!</v>
      </c>
      <c r="AG20" s="28" t="e">
        <f t="shared" si="0"/>
        <v>#REF!</v>
      </c>
      <c r="AH20" s="28" t="e">
        <f t="shared" si="0"/>
        <v>#REF!</v>
      </c>
      <c r="AI20" s="28" t="e">
        <f t="shared" si="0"/>
        <v>#REF!</v>
      </c>
      <c r="AJ20" s="28" t="e">
        <f t="shared" si="0"/>
        <v>#REF!</v>
      </c>
      <c r="AK20" s="28" t="e">
        <f t="shared" si="0"/>
        <v>#REF!</v>
      </c>
      <c r="AL20" s="28">
        <v>150000817</v>
      </c>
      <c r="AM20" s="28">
        <v>-7614410532.9399996</v>
      </c>
    </row>
    <row r="21" spans="1:39" x14ac:dyDescent="0.25">
      <c r="A21" s="29"/>
      <c r="B21" s="29" t="e">
        <f>aruanne!#REF!</f>
        <v>#REF!</v>
      </c>
      <c r="C21" s="29" t="e">
        <f>aruanne!#REF!+aruanne!#REF!</f>
        <v>#REF!</v>
      </c>
      <c r="D21" s="29" t="e">
        <f>aruanne!#REF!</f>
        <v>#REF!</v>
      </c>
      <c r="E21" s="29" t="e">
        <f>aruanne!#REF!+aruanne!#REF!</f>
        <v>#REF!</v>
      </c>
      <c r="F21" s="29" t="e">
        <f>aruanne!#REF!</f>
        <v>#REF!</v>
      </c>
      <c r="G21" s="29" t="e">
        <f>aruanne!#REF!+aruanne!#REF!</f>
        <v>#REF!</v>
      </c>
      <c r="H21" s="29" t="e">
        <f>aruanne!#REF!</f>
        <v>#REF!</v>
      </c>
      <c r="I21" s="29" t="e">
        <f>aruanne!#REF!</f>
        <v>#REF!</v>
      </c>
      <c r="J21" s="29" t="e">
        <f>aruanne!#REF!</f>
        <v>#REF!</v>
      </c>
      <c r="K21" s="29" t="e">
        <f>aruanne!#REF!+aruanne!#REF!</f>
        <v>#REF!</v>
      </c>
      <c r="L21" s="29" t="e">
        <f>aruanne!#REF!</f>
        <v>#REF!</v>
      </c>
      <c r="M21" s="29" t="e">
        <f>aruanne!#REF!+aruanne!#REF!</f>
        <v>#REF!</v>
      </c>
      <c r="N21" s="29" t="e">
        <f>aruanne!#REF!</f>
        <v>#REF!</v>
      </c>
      <c r="O21" s="29" t="e">
        <f>aruanne!#REF!+aruanne!#REF!</f>
        <v>#REF!</v>
      </c>
      <c r="P21" s="29" t="e">
        <f>aruanne!#REF!</f>
        <v>#REF!</v>
      </c>
      <c r="Q21" s="29" t="e">
        <f>aruanne!#REF!</f>
        <v>#REF!</v>
      </c>
      <c r="R21" s="29" t="e">
        <f>aruanne!#REF!+aruanne!#REF!</f>
        <v>#REF!</v>
      </c>
      <c r="S21" s="29" t="e">
        <f>aruanne!#REF!</f>
        <v>#REF!</v>
      </c>
      <c r="T21" s="30" t="e">
        <f>aruanne!#REF!</f>
        <v>#REF!</v>
      </c>
      <c r="U21" s="30" t="e">
        <f>aruanne!#REF!+aruanne!#REF!</f>
        <v>#REF!</v>
      </c>
      <c r="V21" s="29" t="e">
        <f>aruanne!#REF!</f>
        <v>#REF!</v>
      </c>
      <c r="W21" s="29" t="e">
        <f>aruanne!#REF!+aruanne!#REF!</f>
        <v>#REF!</v>
      </c>
      <c r="X21" s="29" t="e">
        <f>aruanne!#REF!</f>
        <v>#REF!</v>
      </c>
      <c r="Y21" s="29" t="e">
        <f>aruanne!#REF!</f>
        <v>#REF!</v>
      </c>
      <c r="Z21" s="29" t="e">
        <f>aruanne!#REF!+aruanne!#REF!</f>
        <v>#REF!</v>
      </c>
      <c r="AA21" s="29" t="e">
        <f>aruanne!#REF!</f>
        <v>#REF!</v>
      </c>
      <c r="AB21" s="29" t="e">
        <f>aruanne!#REF!+aruanne!#REF!</f>
        <v>#REF!</v>
      </c>
      <c r="AC21" s="29" t="e">
        <f>aruanne!#REF!</f>
        <v>#REF!</v>
      </c>
      <c r="AD21" s="29" t="e">
        <f>aruanne!#REF!</f>
        <v>#REF!</v>
      </c>
      <c r="AE21" s="29" t="e">
        <f>aruanne!#REF!+aruanne!#REF!</f>
        <v>#REF!</v>
      </c>
      <c r="AF21" s="29" t="e">
        <f>aruanne!#REF!</f>
        <v>#REF!</v>
      </c>
      <c r="AG21" s="29" t="e">
        <f>aruanne!#REF!</f>
        <v>#REF!</v>
      </c>
      <c r="AH21" s="29" t="e">
        <f>aruanne!#REF!+aruanne!#REF!</f>
        <v>#REF!</v>
      </c>
      <c r="AI21" s="29" t="e">
        <f>aruanne!#REF!</f>
        <v>#REF!</v>
      </c>
      <c r="AJ21" s="29" t="e">
        <f>aruanne!#REF!</f>
        <v>#REF!</v>
      </c>
      <c r="AK21" s="29" t="e">
        <f>aruanne!#REF!+aruanne!#REF!</f>
        <v>#REF!</v>
      </c>
      <c r="AL21" s="29">
        <v>150000817</v>
      </c>
      <c r="AM21" s="29">
        <v>-7614410532.9400005</v>
      </c>
    </row>
    <row r="22" spans="1:39" x14ac:dyDescent="0.25">
      <c r="A22" s="29"/>
      <c r="B22" s="29" t="e">
        <f>B20-B21</f>
        <v>#REF!</v>
      </c>
      <c r="C22" s="29" t="e">
        <f t="shared" ref="C22:AM22" si="1">C20-C21</f>
        <v>#REF!</v>
      </c>
      <c r="D22" s="29" t="e">
        <f t="shared" si="1"/>
        <v>#REF!</v>
      </c>
      <c r="E22" s="29" t="e">
        <f t="shared" si="1"/>
        <v>#REF!</v>
      </c>
      <c r="F22" s="29" t="e">
        <f t="shared" si="1"/>
        <v>#REF!</v>
      </c>
      <c r="G22" s="29" t="e">
        <f t="shared" si="1"/>
        <v>#REF!</v>
      </c>
      <c r="H22" s="29" t="e">
        <f t="shared" si="1"/>
        <v>#REF!</v>
      </c>
      <c r="I22" s="29" t="e">
        <f t="shared" si="1"/>
        <v>#REF!</v>
      </c>
      <c r="J22" s="29" t="e">
        <f t="shared" si="1"/>
        <v>#REF!</v>
      </c>
      <c r="K22" s="29" t="e">
        <f t="shared" si="1"/>
        <v>#REF!</v>
      </c>
      <c r="L22" s="29" t="e">
        <f t="shared" si="1"/>
        <v>#REF!</v>
      </c>
      <c r="M22" s="29" t="e">
        <f t="shared" si="1"/>
        <v>#REF!</v>
      </c>
      <c r="N22" s="29" t="e">
        <f t="shared" si="1"/>
        <v>#REF!</v>
      </c>
      <c r="O22" s="29" t="e">
        <f t="shared" si="1"/>
        <v>#REF!</v>
      </c>
      <c r="P22" s="29" t="e">
        <f t="shared" si="1"/>
        <v>#REF!</v>
      </c>
      <c r="Q22" s="29" t="e">
        <f t="shared" si="1"/>
        <v>#REF!</v>
      </c>
      <c r="R22" s="29" t="e">
        <f t="shared" si="1"/>
        <v>#REF!</v>
      </c>
      <c r="S22" s="29" t="e">
        <f t="shared" si="1"/>
        <v>#REF!</v>
      </c>
      <c r="T22" s="29" t="e">
        <f t="shared" si="1"/>
        <v>#REF!</v>
      </c>
      <c r="U22" s="29" t="e">
        <f t="shared" si="1"/>
        <v>#REF!</v>
      </c>
      <c r="V22" s="29" t="e">
        <f t="shared" si="1"/>
        <v>#REF!</v>
      </c>
      <c r="W22" s="29" t="e">
        <f t="shared" si="1"/>
        <v>#REF!</v>
      </c>
      <c r="X22" s="29" t="e">
        <f t="shared" si="1"/>
        <v>#REF!</v>
      </c>
      <c r="Y22" s="29" t="e">
        <f t="shared" si="1"/>
        <v>#REF!</v>
      </c>
      <c r="Z22" s="29" t="e">
        <f t="shared" si="1"/>
        <v>#REF!</v>
      </c>
      <c r="AA22" s="29" t="e">
        <f t="shared" si="1"/>
        <v>#REF!</v>
      </c>
      <c r="AB22" s="29" t="e">
        <f t="shared" si="1"/>
        <v>#REF!</v>
      </c>
      <c r="AC22" s="29" t="e">
        <f t="shared" si="1"/>
        <v>#REF!</v>
      </c>
      <c r="AD22" s="29" t="e">
        <f t="shared" si="1"/>
        <v>#REF!</v>
      </c>
      <c r="AE22" s="29" t="e">
        <f t="shared" si="1"/>
        <v>#REF!</v>
      </c>
      <c r="AF22" s="29" t="e">
        <f t="shared" si="1"/>
        <v>#REF!</v>
      </c>
      <c r="AG22" s="29" t="e">
        <f t="shared" si="1"/>
        <v>#REF!</v>
      </c>
      <c r="AH22" s="29" t="e">
        <f t="shared" si="1"/>
        <v>#REF!</v>
      </c>
      <c r="AI22" s="29" t="e">
        <f t="shared" si="1"/>
        <v>#REF!</v>
      </c>
      <c r="AJ22" s="29" t="e">
        <f t="shared" si="1"/>
        <v>#REF!</v>
      </c>
      <c r="AK22" s="29" t="e">
        <f t="shared" si="1"/>
        <v>#REF!</v>
      </c>
      <c r="AL22" s="29">
        <f t="shared" si="1"/>
        <v>0</v>
      </c>
      <c r="AM22" s="29">
        <f t="shared" si="1"/>
        <v>0</v>
      </c>
    </row>
    <row r="23" spans="1:39" x14ac:dyDescent="0.25">
      <c r="R23" s="1"/>
      <c r="U23" s="1"/>
      <c r="W23" s="1"/>
      <c r="AB23" s="1"/>
      <c r="AK23" s="1"/>
    </row>
    <row r="24" spans="1:39" x14ac:dyDescent="0.25">
      <c r="O24" s="1"/>
      <c r="R24" s="1" t="s">
        <v>110</v>
      </c>
      <c r="W24" s="1" t="s">
        <v>111</v>
      </c>
      <c r="AB24" s="1" t="s">
        <v>112</v>
      </c>
      <c r="AE24" s="1" t="s">
        <v>113</v>
      </c>
      <c r="AH24" s="1"/>
      <c r="AK24" s="1"/>
    </row>
    <row r="25" spans="1:39" x14ac:dyDescent="0.25">
      <c r="O25" s="1"/>
      <c r="W25" t="s">
        <v>114</v>
      </c>
      <c r="AB25" t="s">
        <v>114</v>
      </c>
      <c r="AE25" t="s">
        <v>114</v>
      </c>
    </row>
    <row r="26" spans="1:39" x14ac:dyDescent="0.25">
      <c r="O26" s="1"/>
      <c r="W26">
        <f>2473500-2994681</f>
        <v>-521181</v>
      </c>
      <c r="AB26">
        <f>3007500-2480819</f>
        <v>526681</v>
      </c>
      <c r="AE26">
        <f>-8100199+8094700</f>
        <v>-5499</v>
      </c>
    </row>
    <row r="27" spans="1:39" x14ac:dyDescent="0.25">
      <c r="W27" t="s">
        <v>115</v>
      </c>
      <c r="AB27" t="s">
        <v>116</v>
      </c>
    </row>
    <row r="28" spans="1:39" x14ac:dyDescent="0.25">
      <c r="W28">
        <f>230000-115000</f>
        <v>115000</v>
      </c>
    </row>
    <row r="29" spans="1:39" x14ac:dyDescent="0.25">
      <c r="AB29" s="1" t="e">
        <f>119999446.52-AB22</f>
        <v>#REF!</v>
      </c>
      <c r="AE29" s="1"/>
    </row>
    <row r="30" spans="1:39" x14ac:dyDescent="0.25">
      <c r="W3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18"/>
  <sheetViews>
    <sheetView workbookViewId="0">
      <selection activeCell="B31" sqref="B31"/>
    </sheetView>
  </sheetViews>
  <sheetFormatPr defaultRowHeight="15" x14ac:dyDescent="0.25"/>
  <cols>
    <col min="1" max="1" width="20.85546875" customWidth="1"/>
    <col min="2" max="2" width="39.140625" customWidth="1"/>
    <col min="3" max="3" width="16.7109375" style="33" bestFit="1" customWidth="1"/>
    <col min="4" max="4" width="16.140625" style="33" bestFit="1" customWidth="1"/>
    <col min="5" max="5" width="16.7109375" style="33" bestFit="1" customWidth="1"/>
    <col min="6" max="6" width="9.140625" style="13"/>
    <col min="7" max="7" width="16" style="13" bestFit="1" customWidth="1"/>
    <col min="8" max="8" width="16.7109375" style="13" bestFit="1" customWidth="1"/>
    <col min="9" max="9" width="15.85546875" style="13" bestFit="1" customWidth="1"/>
    <col min="11" max="11" width="13.28515625" bestFit="1" customWidth="1"/>
    <col min="13" max="13" width="14.28515625" bestFit="1" customWidth="1"/>
    <col min="14" max="14" width="10.7109375" bestFit="1" customWidth="1"/>
    <col min="15" max="15" width="13.28515625" customWidth="1"/>
  </cols>
  <sheetData>
    <row r="1" spans="1:15" x14ac:dyDescent="0.25">
      <c r="A1" s="7" t="s">
        <v>32</v>
      </c>
      <c r="B1" s="8"/>
      <c r="C1" s="36"/>
      <c r="D1" s="36"/>
      <c r="E1" s="36"/>
      <c r="F1" s="9"/>
      <c r="G1" s="10"/>
      <c r="H1" s="11"/>
      <c r="I1" s="12"/>
      <c r="J1" s="13"/>
    </row>
    <row r="2" spans="1:15" x14ac:dyDescent="0.25">
      <c r="A2" s="7" t="s">
        <v>33</v>
      </c>
      <c r="B2" s="8"/>
      <c r="C2" s="36"/>
      <c r="D2" s="36"/>
      <c r="E2" s="36"/>
      <c r="F2" s="9"/>
      <c r="G2" s="10"/>
      <c r="H2" s="11"/>
      <c r="I2" s="11"/>
      <c r="J2" s="13"/>
    </row>
    <row r="3" spans="1:15" x14ac:dyDescent="0.25">
      <c r="A3" s="7"/>
      <c r="B3" s="8"/>
      <c r="C3" s="37">
        <f>SUBTOTAL(9,C5:C18)</f>
        <v>-2185310760.2299986</v>
      </c>
      <c r="D3" s="37">
        <f>SUBTOTAL(9,D5:D18)</f>
        <v>-2185310760.2299986</v>
      </c>
      <c r="E3" s="37">
        <f>SUBTOTAL(9,E5:E18)</f>
        <v>2.2910535335540771E-7</v>
      </c>
      <c r="F3" s="9"/>
      <c r="G3" s="11">
        <f>SUBTOTAL(9,G5:G18)</f>
        <v>-2167310164.6099992</v>
      </c>
      <c r="H3" s="11">
        <f>SUBTOTAL(9,H5:H18)</f>
        <v>-2167310164.6900005</v>
      </c>
      <c r="I3" s="11">
        <f>SUBTOTAL(9,I5:I18)</f>
        <v>7.9999426379799843E-2</v>
      </c>
    </row>
    <row r="4" spans="1:15" ht="25.5" x14ac:dyDescent="0.25">
      <c r="A4" s="91"/>
      <c r="B4" s="91" t="s">
        <v>34</v>
      </c>
      <c r="C4" s="92" t="s">
        <v>121</v>
      </c>
      <c r="D4" s="92" t="s">
        <v>120</v>
      </c>
      <c r="E4" s="92" t="s">
        <v>119</v>
      </c>
      <c r="F4" s="93" t="s">
        <v>35</v>
      </c>
      <c r="G4" s="94" t="s">
        <v>61</v>
      </c>
      <c r="H4" s="94" t="s">
        <v>62</v>
      </c>
      <c r="I4" s="94" t="s">
        <v>63</v>
      </c>
      <c r="J4" s="91" t="s">
        <v>35</v>
      </c>
    </row>
    <row r="5" spans="1:15" x14ac:dyDescent="0.25">
      <c r="A5" t="s">
        <v>40</v>
      </c>
      <c r="B5" s="14" t="s">
        <v>4</v>
      </c>
      <c r="C5" s="33">
        <f>4908132196.49+3914856.3</f>
        <v>4912047052.79</v>
      </c>
      <c r="D5" s="11">
        <f>aruanne!E105</f>
        <v>4912047052.79</v>
      </c>
      <c r="E5" s="11">
        <f t="shared" ref="E5:E18" si="0">C5-D5</f>
        <v>0</v>
      </c>
      <c r="G5" s="33">
        <v>4572001826.25</v>
      </c>
      <c r="H5" s="11">
        <f>aruanne!F105</f>
        <v>4572001826.249999</v>
      </c>
      <c r="I5" s="11">
        <f t="shared" ref="I5:I18" si="1">G5-H5</f>
        <v>0</v>
      </c>
      <c r="M5" s="33"/>
      <c r="N5" s="13"/>
      <c r="O5" s="13"/>
    </row>
    <row r="6" spans="1:15" x14ac:dyDescent="0.25">
      <c r="A6" t="s">
        <v>40</v>
      </c>
      <c r="B6" t="s">
        <v>6</v>
      </c>
      <c r="C6" s="33">
        <v>308973.27</v>
      </c>
      <c r="D6" s="11">
        <f>aruanne!E6</f>
        <v>309623.27</v>
      </c>
      <c r="E6" s="11">
        <f t="shared" si="0"/>
        <v>-650</v>
      </c>
      <c r="G6" s="33">
        <v>336419.51</v>
      </c>
      <c r="H6" s="11">
        <f>aruanne!F6</f>
        <v>336439.51</v>
      </c>
      <c r="I6" s="11">
        <f t="shared" si="1"/>
        <v>-20</v>
      </c>
      <c r="J6" s="13"/>
      <c r="O6" s="13"/>
    </row>
    <row r="7" spans="1:15" x14ac:dyDescent="0.25">
      <c r="A7" t="s">
        <v>40</v>
      </c>
      <c r="B7" t="s">
        <v>7</v>
      </c>
      <c r="C7" s="33">
        <v>8910108.6300000008</v>
      </c>
      <c r="D7" s="11">
        <f>aruanne!E7+aruanne!E113</f>
        <v>8989649.6400000006</v>
      </c>
      <c r="E7" s="11">
        <f t="shared" si="0"/>
        <v>-79541.009999999776</v>
      </c>
      <c r="G7" s="33">
        <f>7987582.35</f>
        <v>7987582.3499999996</v>
      </c>
      <c r="H7" s="11">
        <f>aruanne!F7+aruanne!F113</f>
        <v>8224565.370000001</v>
      </c>
      <c r="I7" s="11">
        <f t="shared" si="1"/>
        <v>-236983.02000000142</v>
      </c>
      <c r="J7" s="13"/>
      <c r="O7" s="13"/>
    </row>
    <row r="8" spans="1:15" x14ac:dyDescent="0.25">
      <c r="A8" t="s">
        <v>40</v>
      </c>
      <c r="B8" t="s">
        <v>5</v>
      </c>
      <c r="C8" s="33">
        <v>155183624.52000001</v>
      </c>
      <c r="D8" s="11">
        <f>aruanne!E8+aruanne!E109+aruanne!E111</f>
        <v>155183624.52000001</v>
      </c>
      <c r="E8" s="11">
        <f t="shared" si="0"/>
        <v>0</v>
      </c>
      <c r="G8" s="33">
        <v>147410909.28</v>
      </c>
      <c r="H8" s="11">
        <f>aruanne!F8+aruanne!F109+aruanne!F111</f>
        <v>147410909.28</v>
      </c>
      <c r="I8" s="11">
        <f t="shared" si="1"/>
        <v>0</v>
      </c>
      <c r="J8" s="13"/>
      <c r="O8" s="13"/>
    </row>
    <row r="9" spans="1:15" x14ac:dyDescent="0.25">
      <c r="A9" t="s">
        <v>40</v>
      </c>
      <c r="B9" t="s">
        <v>8</v>
      </c>
      <c r="C9" s="33">
        <v>35787.01</v>
      </c>
      <c r="D9" s="11">
        <f>aruanne!E9</f>
        <v>35787.01</v>
      </c>
      <c r="E9" s="11">
        <f t="shared" si="0"/>
        <v>0</v>
      </c>
      <c r="G9" s="33">
        <v>38986.04</v>
      </c>
      <c r="H9" s="11">
        <f>aruanne!F9</f>
        <v>38986.04</v>
      </c>
      <c r="I9" s="11">
        <f t="shared" si="1"/>
        <v>0</v>
      </c>
      <c r="J9" s="13"/>
      <c r="O9" s="13"/>
    </row>
    <row r="10" spans="1:15" x14ac:dyDescent="0.25">
      <c r="A10" t="s">
        <v>40</v>
      </c>
      <c r="B10" t="s">
        <v>54</v>
      </c>
      <c r="C10" s="33">
        <v>680999.12</v>
      </c>
      <c r="D10" s="11">
        <f>aruanne!E10</f>
        <v>680999.12</v>
      </c>
      <c r="E10" s="11">
        <f t="shared" si="0"/>
        <v>0</v>
      </c>
      <c r="G10" s="33">
        <f>756038.37+135.05</f>
        <v>756173.42</v>
      </c>
      <c r="H10" s="11">
        <f>aruanne!F10</f>
        <v>756173.42</v>
      </c>
      <c r="I10" s="11">
        <f t="shared" si="1"/>
        <v>0</v>
      </c>
      <c r="J10" s="13"/>
      <c r="O10" s="13"/>
    </row>
    <row r="11" spans="1:15" x14ac:dyDescent="0.25">
      <c r="A11" t="s">
        <v>40</v>
      </c>
      <c r="B11" t="s">
        <v>38</v>
      </c>
      <c r="C11" s="33">
        <v>80191.009999999995</v>
      </c>
      <c r="D11" s="11">
        <v>0</v>
      </c>
      <c r="E11" s="11">
        <f t="shared" si="0"/>
        <v>80191.009999999995</v>
      </c>
      <c r="G11" s="33">
        <v>237003.02</v>
      </c>
      <c r="H11" s="11"/>
      <c r="I11" s="11">
        <f t="shared" si="1"/>
        <v>237003.02</v>
      </c>
      <c r="J11" s="13"/>
      <c r="O11" s="13"/>
    </row>
    <row r="12" spans="1:15" x14ac:dyDescent="0.25">
      <c r="A12" t="s">
        <v>40</v>
      </c>
      <c r="B12" t="s">
        <v>36</v>
      </c>
      <c r="C12" s="33">
        <v>95462.84</v>
      </c>
      <c r="D12" s="11">
        <f>aruanne!E106</f>
        <v>95462.84</v>
      </c>
      <c r="E12" s="11">
        <f t="shared" si="0"/>
        <v>0</v>
      </c>
      <c r="G12" s="33"/>
      <c r="H12" s="11">
        <f>aruanne!F106</f>
        <v>0</v>
      </c>
      <c r="I12" s="11">
        <f t="shared" si="1"/>
        <v>0</v>
      </c>
      <c r="O12" s="13"/>
    </row>
    <row r="13" spans="1:15" x14ac:dyDescent="0.25">
      <c r="A13" t="s">
        <v>40</v>
      </c>
      <c r="B13" t="s">
        <v>66</v>
      </c>
      <c r="C13" s="33">
        <f>-7165593283.87-C16-C18-1968459.66</f>
        <v>-7155988383.1499996</v>
      </c>
      <c r="D13" s="11">
        <v>-7156068574.1599998</v>
      </c>
      <c r="E13" s="11">
        <f t="shared" si="0"/>
        <v>80191.010000228882</v>
      </c>
      <c r="G13" s="33">
        <f>-6811598278.7-G16-G18</f>
        <v>-6795598791.3699999</v>
      </c>
      <c r="H13" s="11">
        <f>aruanne!F11+aruanne!F107+aruanne!F110+aruanne!F114+aruanne!F117+aruanne!F118+aruanne!F115+aruanne!F116-aruanne!F100+aruanne!F112</f>
        <v>-6795835794.4699993</v>
      </c>
      <c r="I13" s="11">
        <f>G13-H13</f>
        <v>237003.0999994278</v>
      </c>
      <c r="O13" s="13"/>
    </row>
    <row r="14" spans="1:15" x14ac:dyDescent="0.25">
      <c r="A14" t="s">
        <v>40</v>
      </c>
      <c r="B14" t="s">
        <v>39</v>
      </c>
      <c r="C14" s="33">
        <v>-80191.009999999995</v>
      </c>
      <c r="D14" s="11">
        <v>0</v>
      </c>
      <c r="E14" s="11">
        <f t="shared" si="0"/>
        <v>-80191.009999999995</v>
      </c>
      <c r="G14" s="33">
        <v>-237003.02</v>
      </c>
      <c r="H14" s="11"/>
      <c r="I14" s="11">
        <f t="shared" si="1"/>
        <v>-237003.02</v>
      </c>
      <c r="O14" s="13"/>
    </row>
    <row r="15" spans="1:15" x14ac:dyDescent="0.25">
      <c r="A15" t="s">
        <v>40</v>
      </c>
      <c r="B15" t="s">
        <v>37</v>
      </c>
      <c r="C15" s="33">
        <v>-79995127</v>
      </c>
      <c r="D15" s="11">
        <f>aruanne!E108</f>
        <v>-79995127</v>
      </c>
      <c r="E15" s="11">
        <f t="shared" si="0"/>
        <v>0</v>
      </c>
      <c r="G15" s="33">
        <v>-68873464.239999995</v>
      </c>
      <c r="H15" s="11">
        <f>aruanne!F108</f>
        <v>-68873464.239999995</v>
      </c>
      <c r="I15" s="11">
        <f t="shared" si="1"/>
        <v>0</v>
      </c>
      <c r="O15" s="13"/>
    </row>
    <row r="16" spans="1:15" x14ac:dyDescent="0.25">
      <c r="A16" t="s">
        <v>40</v>
      </c>
      <c r="B16" s="14" t="s">
        <v>53</v>
      </c>
      <c r="C16" s="33">
        <v>-8590211.2799999993</v>
      </c>
      <c r="D16" s="11">
        <f>aruanne!E100</f>
        <v>-8590211.2799999993</v>
      </c>
      <c r="E16" s="11">
        <f t="shared" si="0"/>
        <v>0</v>
      </c>
      <c r="F16" s="15"/>
      <c r="G16" s="33">
        <v>-12996397.529999999</v>
      </c>
      <c r="H16" s="11">
        <f>aruanne!F100</f>
        <v>-12996397.529999999</v>
      </c>
      <c r="I16" s="11">
        <f t="shared" si="1"/>
        <v>0</v>
      </c>
      <c r="O16" s="13"/>
    </row>
    <row r="17" spans="1:15" x14ac:dyDescent="0.25">
      <c r="A17" t="s">
        <v>40</v>
      </c>
      <c r="B17" s="14" t="s">
        <v>16</v>
      </c>
      <c r="C17" s="33">
        <v>-15015897.880000001</v>
      </c>
      <c r="D17" s="11">
        <f>aruanne!E101-D18</f>
        <v>-15015897.880000001</v>
      </c>
      <c r="E17" s="11">
        <f t="shared" si="0"/>
        <v>0</v>
      </c>
      <c r="F17" s="15"/>
      <c r="G17" s="33">
        <f>-4215073.38-11155245.14</f>
        <v>-15370318.52</v>
      </c>
      <c r="H17" s="11">
        <f>aruanne!F101-aruanne!F103</f>
        <v>-15370318.52</v>
      </c>
      <c r="I17" s="11">
        <f t="shared" si="1"/>
        <v>0</v>
      </c>
      <c r="O17" s="13"/>
    </row>
    <row r="18" spans="1:15" x14ac:dyDescent="0.25">
      <c r="A18" t="s">
        <v>40</v>
      </c>
      <c r="B18" s="14" t="s">
        <v>65</v>
      </c>
      <c r="C18" s="33">
        <v>-2983149.1</v>
      </c>
      <c r="D18" s="11">
        <f>aruanne!E103</f>
        <v>-2983149.1</v>
      </c>
      <c r="E18" s="11">
        <f t="shared" si="0"/>
        <v>0</v>
      </c>
      <c r="F18" s="15"/>
      <c r="G18" s="33">
        <v>-3003089.8</v>
      </c>
      <c r="H18" s="11">
        <f>aruanne!F103</f>
        <v>-3003089.8</v>
      </c>
      <c r="I18" s="11">
        <f t="shared" si="1"/>
        <v>0</v>
      </c>
      <c r="O18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aruanne</vt:lpstr>
      <vt:lpstr>lisa1</vt:lpstr>
      <vt:lpstr>vordlus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Juta Maar</dc:creator>
  <cp:lastModifiedBy>Ester Timmas</cp:lastModifiedBy>
  <dcterms:created xsi:type="dcterms:W3CDTF">2022-02-14T16:37:54Z</dcterms:created>
  <dcterms:modified xsi:type="dcterms:W3CDTF">2024-06-17T16:56:34Z</dcterms:modified>
</cp:coreProperties>
</file>